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65" activeTab="1"/>
  </bookViews>
  <sheets>
    <sheet name="附件3 规划内" sheetId="3" r:id="rId1"/>
    <sheet name="附件4 规划外" sheetId="19" r:id="rId2"/>
    <sheet name="附件1 2022年度" sheetId="16" r:id="rId3"/>
    <sheet name="附件2 总投资" sheetId="18" r:id="rId4"/>
    <sheet name="其他省报" sheetId="38" state="hidden" r:id="rId5"/>
    <sheet name="其他市报" sheetId="41" state="hidden" r:id="rId6"/>
    <sheet name="省报表" sheetId="37" state="hidden" r:id="rId7"/>
    <sheet name="出文-附件1县区" sheetId="35" state="hidden" r:id="rId8"/>
    <sheet name="出文-附件1行业" sheetId="36" state="hidden" r:id="rId9"/>
    <sheet name="兰考" sheetId="25" state="hidden" r:id="rId10"/>
    <sheet name="杞县" sheetId="26" state="hidden" r:id="rId11"/>
    <sheet name="通许" sheetId="27" state="hidden" r:id="rId12"/>
    <sheet name="尉氏" sheetId="28" state="hidden" r:id="rId13"/>
    <sheet name="祥符" sheetId="29" state="hidden" r:id="rId14"/>
    <sheet name="示范区" sheetId="30" state="hidden" r:id="rId15"/>
    <sheet name="龙亭" sheetId="31" state="hidden" r:id="rId16"/>
    <sheet name="鼓楼" sheetId="40" state="hidden" r:id="rId17"/>
    <sheet name="顺河" sheetId="32" state="hidden" r:id="rId18"/>
    <sheet name="禹王台" sheetId="33" state="hidden" r:id="rId19"/>
    <sheet name="市本级" sheetId="34" state="hidden" r:id="rId20"/>
    <sheet name="水利" sheetId="5" state="hidden" r:id="rId21"/>
    <sheet name="农业" sheetId="13" state="hidden" r:id="rId22"/>
    <sheet name="林业" sheetId="14" state="hidden" r:id="rId23"/>
    <sheet name="交通" sheetId="6" state="hidden" r:id="rId24"/>
    <sheet name="教育" sheetId="10" state="hidden" r:id="rId25"/>
    <sheet name="卫生" sheetId="11" state="hidden" r:id="rId26"/>
    <sheet name="住房" sheetId="4" state="hidden" r:id="rId27"/>
    <sheet name="市政" sheetId="17" state="hidden" r:id="rId28"/>
    <sheet name="文化" sheetId="12" state="hidden" r:id="rId29"/>
    <sheet name="文物" sheetId="20" state="hidden" r:id="rId30"/>
    <sheet name="应急" sheetId="15" state="hidden" r:id="rId31"/>
    <sheet name="乡村振兴" sheetId="8" state="hidden" r:id="rId32"/>
    <sheet name="民政" sheetId="9" state="hidden" r:id="rId33"/>
    <sheet name="能源" sheetId="7" state="hidden" r:id="rId34"/>
    <sheet name="产业" sheetId="21" state="hidden" r:id="rId35"/>
    <sheet name="粮食" sheetId="22" state="hidden" r:id="rId36"/>
    <sheet name="生态" sheetId="23" state="hidden" r:id="rId37"/>
    <sheet name="商超" sheetId="24" state="hidden" r:id="rId38"/>
  </sheets>
  <definedNames>
    <definedName name="_xlnm._FilterDatabase" localSheetId="0" hidden="1">'附件3 规划内'!$A$1:$AC$254</definedName>
    <definedName name="_xlnm._FilterDatabase" localSheetId="1" hidden="1">'附件4 规划外'!$A$1:$AC$226</definedName>
    <definedName name="_xlnm._FilterDatabase" localSheetId="9" hidden="1">兰考!$A$6:$AK$33</definedName>
    <definedName name="_xlnm._FilterDatabase" localSheetId="10" hidden="1">杞县!$A$6:$AK$26</definedName>
    <definedName name="_xlnm._FilterDatabase" localSheetId="11" hidden="1">通许!$A$6:$AK$44</definedName>
    <definedName name="_xlnm._FilterDatabase" localSheetId="12" hidden="1">尉氏!$A$6:$AK$257</definedName>
    <definedName name="_xlnm._FilterDatabase" localSheetId="13" hidden="1">祥符!$A$6:$AK$254</definedName>
    <definedName name="_xlnm._FilterDatabase" localSheetId="18" hidden="1">禹王台!$A$6:$AK$10</definedName>
    <definedName name="_xlnm._FilterDatabase" localSheetId="19" hidden="1">市本级!$A$6:$AK$39</definedName>
    <definedName name="_xlnm._FilterDatabase" localSheetId="20" hidden="1">水利!$A$6:$AK$46</definedName>
    <definedName name="_xlnm._FilterDatabase" localSheetId="21" hidden="1">农业!$A$6:$AK$18</definedName>
    <definedName name="_xlnm._FilterDatabase" localSheetId="22" hidden="1">林业!$A$6:$AK$13</definedName>
    <definedName name="_xlnm._FilterDatabase" localSheetId="23" hidden="1">交通!$A$6:$AK$47</definedName>
    <definedName name="_xlnm._FilterDatabase" localSheetId="24" hidden="1">教育!$A$6:$R$26</definedName>
    <definedName name="_xlnm._FilterDatabase" localSheetId="25" hidden="1">卫生!$A$6:$R$17</definedName>
    <definedName name="_xlnm._FilterDatabase" localSheetId="26" hidden="1">住房!$A$6:$AK$14</definedName>
    <definedName name="_xlnm._FilterDatabase" localSheetId="27" hidden="1">市政!$A$6:$AK$54</definedName>
    <definedName name="_xlnm._FilterDatabase" localSheetId="28" hidden="1">文化!$A$6:$AK$12</definedName>
    <definedName name="_xlnm._FilterDatabase" localSheetId="29" hidden="1">文物!$A$6:$AK$7</definedName>
    <definedName name="_xlnm._FilterDatabase" localSheetId="30" hidden="1">应急!$A$6:$AK$8</definedName>
    <definedName name="_xlnm._FilterDatabase" localSheetId="31" hidden="1">乡村振兴!$A$6:$AK$105</definedName>
    <definedName name="_xlnm._FilterDatabase" localSheetId="32" hidden="1">民政!$A$6:$AK$16</definedName>
    <definedName name="_xlnm._FilterDatabase" localSheetId="33" hidden="1">能源!$A$6:$AK$14</definedName>
    <definedName name="_xlnm._FilterDatabase" localSheetId="34" hidden="1">产业!$A$6:$AK$78</definedName>
    <definedName name="_xlnm._FilterDatabase" localSheetId="35" hidden="1">粮食!$A$6:$AK$8</definedName>
    <definedName name="_xlnm._FilterDatabase" localSheetId="36" hidden="1">生态!$A$6:$AK$7</definedName>
    <definedName name="_xlnm._FilterDatabase" localSheetId="37" hidden="1">商超!$A$6:$AK$7</definedName>
  </definedNames>
  <calcPr calcId="144525"/>
</workbook>
</file>

<file path=xl/sharedStrings.xml><?xml version="1.0" encoding="utf-8"?>
<sst xmlns="http://schemas.openxmlformats.org/spreadsheetml/2006/main" count="5763" uniqueCount="1317">
  <si>
    <t>序号</t>
  </si>
  <si>
    <t>项目名称</t>
  </si>
  <si>
    <t>所属行业</t>
  </si>
  <si>
    <t>主要建设内容</t>
  </si>
  <si>
    <t>总投资
（万元）</t>
  </si>
  <si>
    <r>
      <rPr>
        <b/>
        <sz val="10.5"/>
        <rFont val="宋体"/>
        <charset val="134"/>
      </rPr>
      <t>2021</t>
    </r>
    <r>
      <rPr>
        <b/>
        <sz val="10.5"/>
        <rFont val="宋体"/>
        <charset val="134"/>
      </rPr>
      <t>年年度计划（万元）</t>
    </r>
  </si>
  <si>
    <r>
      <rPr>
        <b/>
        <sz val="10.5"/>
        <rFont val="宋体"/>
        <charset val="134"/>
      </rPr>
      <t>2022</t>
    </r>
    <r>
      <rPr>
        <b/>
        <sz val="10.5"/>
        <rFont val="宋体"/>
        <charset val="134"/>
      </rPr>
      <t>年年度计划（万元）</t>
    </r>
  </si>
  <si>
    <r>
      <rPr>
        <b/>
        <sz val="10.5"/>
        <rFont val="宋体"/>
        <charset val="134"/>
      </rPr>
      <t>2023</t>
    </r>
    <r>
      <rPr>
        <b/>
        <sz val="10.5"/>
        <rFont val="宋体"/>
        <charset val="134"/>
      </rPr>
      <t>年年度计划（万元）</t>
    </r>
  </si>
  <si>
    <t>建设性质（未开工、在建、完工）</t>
  </si>
  <si>
    <t>累计完成总投资</t>
  </si>
  <si>
    <t>年度累计完成投资</t>
  </si>
  <si>
    <t>进展情况</t>
  </si>
  <si>
    <t>计划开工时间（年月）</t>
  </si>
  <si>
    <t>计划竣工时间（年月）</t>
  </si>
  <si>
    <t>行业监管责任单位</t>
  </si>
  <si>
    <t>责任县区</t>
  </si>
  <si>
    <t>新增用地（亩）</t>
  </si>
  <si>
    <t>备注</t>
  </si>
  <si>
    <t>核算（总投资）</t>
  </si>
  <si>
    <t>核算（累计投资）</t>
  </si>
  <si>
    <t>开工时间扣除</t>
  </si>
  <si>
    <t>竣工时间扣除</t>
  </si>
  <si>
    <t>总工期</t>
  </si>
  <si>
    <t>当前工期</t>
  </si>
  <si>
    <t>应完成投资比例</t>
  </si>
  <si>
    <t>实际完成投资比例</t>
  </si>
  <si>
    <t>超额完成比例</t>
  </si>
  <si>
    <t>当前月份</t>
  </si>
  <si>
    <t>总投资完成比例</t>
  </si>
  <si>
    <t>杞县村民住房重建</t>
  </si>
  <si>
    <t>城乡住房</t>
  </si>
  <si>
    <t>修缮加固55户、原址重建183户</t>
  </si>
  <si>
    <t>市住房城乡建设局</t>
  </si>
  <si>
    <t>杞县</t>
  </si>
  <si>
    <t>通许县村民住房重建</t>
  </si>
  <si>
    <t>修缮加固255户、原址重建77户</t>
  </si>
  <si>
    <t>通许县</t>
  </si>
  <si>
    <t>尉氏县村民住房重建</t>
  </si>
  <si>
    <t>修缮加固3544户、原址重建205户</t>
  </si>
  <si>
    <t>尉氏县</t>
  </si>
  <si>
    <t>祥符区村民住房重建</t>
  </si>
  <si>
    <t>修缮加固88户、原址重建76户</t>
  </si>
  <si>
    <t>祥符区</t>
  </si>
  <si>
    <t>禹王台区村民住房重建</t>
  </si>
  <si>
    <t>修缮加固2户、原址重建1户、</t>
  </si>
  <si>
    <t>禹王台区</t>
  </si>
  <si>
    <t>顺河回族区村民住房重建</t>
  </si>
  <si>
    <t>原址重建19户</t>
  </si>
  <si>
    <t>顺河回族区</t>
  </si>
  <si>
    <t>龙亭区城镇居民住房恢复重建</t>
  </si>
  <si>
    <t>修缮加固38户、原址重建1户</t>
  </si>
  <si>
    <t>龙亭区</t>
  </si>
  <si>
    <t>禹王台区城镇居民住房恢复重建</t>
  </si>
  <si>
    <r>
      <rPr>
        <sz val="11"/>
        <rFont val="宋体"/>
        <charset val="134"/>
        <scheme val="minor"/>
      </rPr>
      <t>修缮加固115户、原址重建</t>
    </r>
    <r>
      <rPr>
        <sz val="11"/>
        <rFont val="宋体"/>
        <charset val="134"/>
        <scheme val="minor"/>
      </rPr>
      <t>200</t>
    </r>
    <r>
      <rPr>
        <sz val="11"/>
        <rFont val="宋体"/>
        <charset val="134"/>
        <scheme val="minor"/>
      </rPr>
      <t>户</t>
    </r>
  </si>
  <si>
    <t>杜公河</t>
  </si>
  <si>
    <t>水利</t>
  </si>
  <si>
    <t>堤防加固。</t>
  </si>
  <si>
    <t>市水利局</t>
  </si>
  <si>
    <t>康沟河</t>
  </si>
  <si>
    <t>堤防及护坡水毁修复。</t>
  </si>
  <si>
    <t>黎明河</t>
  </si>
  <si>
    <t>堤防加固，岸坡修复。</t>
  </si>
  <si>
    <t>北康沟</t>
  </si>
  <si>
    <t>对水毁堤防进行加固。</t>
  </si>
  <si>
    <t>惠济河</t>
  </si>
  <si>
    <t>土方回填，重新筑堤，涵闸重建。</t>
  </si>
  <si>
    <t>市本级</t>
  </si>
  <si>
    <t>涡河故道</t>
  </si>
  <si>
    <t>1、修复堤防；2、修复防汛管理道路；3、修复管理所</t>
  </si>
  <si>
    <t>涡河</t>
  </si>
  <si>
    <t>1、恢复堤防；2、维修沿线涵闸；</t>
  </si>
  <si>
    <t>孙城河</t>
  </si>
  <si>
    <t>孙营乡河道岸坡水毁修复450米（1处）</t>
  </si>
  <si>
    <t>枣林沟</t>
  </si>
  <si>
    <t>朱砂镇、长智镇、四所楼镇段水毁修复1500米（3处）</t>
  </si>
  <si>
    <t>土方回填，重新筑堤</t>
  </si>
  <si>
    <t>丈八沟</t>
  </si>
  <si>
    <t>李店西南河道左岸堤防水毁修复1500米（1处）</t>
  </si>
  <si>
    <t>耿武沟刘庄闸</t>
  </si>
  <si>
    <t>闸室整体损坏修复</t>
  </si>
  <si>
    <t>除害河马口闸</t>
  </si>
  <si>
    <t>翼墙损毁、闸门缺失，启闭设施缺失修复</t>
  </si>
  <si>
    <t>贾黎沟西黎岗闸</t>
  </si>
  <si>
    <t>小营闸</t>
  </si>
  <si>
    <t>启闭设施缺失修复</t>
  </si>
  <si>
    <t>文家闸2</t>
  </si>
  <si>
    <t>闸室水毁修复</t>
  </si>
  <si>
    <t>后黄闸</t>
  </si>
  <si>
    <t>明改沟防洪排涝闸</t>
  </si>
  <si>
    <t>启闭机、闸门、电机损毁严重修复</t>
  </si>
  <si>
    <t>刘麦河闸</t>
  </si>
  <si>
    <t>闸室、上下游翼墙水毁修复</t>
  </si>
  <si>
    <t>密家段1</t>
  </si>
  <si>
    <t>密家段2</t>
  </si>
  <si>
    <t>涡河裴庄节制闸</t>
  </si>
  <si>
    <t>上下游护坡水毁冲空；管理所院墙、屋顶等损坏修复</t>
  </si>
  <si>
    <t>涡河箍桶刘节制闸</t>
  </si>
  <si>
    <t>部分启闭设施损坏修复</t>
  </si>
  <si>
    <t>赵口灌区西三干渠</t>
  </si>
  <si>
    <t>左岸岸坡及堤防坍塌10660m右岸岸坡及堤防坍塌15840m桥梁水毁13座涵3座支门损毁67个，文家支渠庄头镇文家村文家闸1座。邢庄乡西三干芦墓张村北100米右岸芦墓张支渠渠首闸1座。恢复并加固</t>
  </si>
  <si>
    <t>赵口灌区东三干渠</t>
  </si>
  <si>
    <t>左岸岸坡及堤防坍塌8865m右岸岸坡及堤防坍塌9135m桥梁水毁3座、涵1座、支门损毁33个。恢复并加固</t>
  </si>
  <si>
    <t>赵口灌区东三北干渠</t>
  </si>
  <si>
    <t>左岸岸坡及堤防坍塌6346m右岸岸坡及堤防坍塌3154m桥梁水毁5座、涵2座、支门损毁4个东三北干张市镇西万村村北350米万村节制闸1座。恢复并加固</t>
  </si>
  <si>
    <t>赵口灌区东三南干渠</t>
  </si>
  <si>
    <t>左岸岸坡及堤防坍塌6632m右岸岸坡及堤防坍塌3968m桥梁水毁3座、涵1座、支门损毁34个。恢复并加固</t>
  </si>
  <si>
    <t>赵口灌区竖岗分干渠</t>
  </si>
  <si>
    <t>左岸岸坡及堤防坍塌2603m右岸岸坡及堤防坍塌1697m桥梁水毁2座、支门损毁21个。恢复并加固</t>
  </si>
  <si>
    <t>赵口灌区西三分干渠</t>
  </si>
  <si>
    <t>左岸岸坡及堤防坍塌4083m右岸岸坡及堤防坍塌3517m桥梁水毁8座、涵1座、支门损毁37个，西三分干渠首庄头镇前曹村前曹枢枢1座。恢复并加固</t>
  </si>
  <si>
    <t>赵口灌区西干渠</t>
  </si>
  <si>
    <t>右岸9.2km堤防堤外坡滑坡沉陷，堤顶道路开裂损毁。左岸6km堤防堤外坡滑坡沉陷，出水口冲毁，闸门严重变形。堤防加固，拆除老砼堤顶道路，重新铺筑砼堤顶道路，重建2孔闸门</t>
  </si>
  <si>
    <t>赵口灌区东三干</t>
  </si>
  <si>
    <t>右岸堤防堤外坡滑坡沉陷，堤顶道路开裂损毁。左岸堤防堤外坡滑坡沉陷。堤防加固，拆除老砼堤顶道路，重新铺筑砼堤顶道路</t>
  </si>
  <si>
    <t>赵口灌区东三干与涡河连接段</t>
  </si>
  <si>
    <t>退水闸出水口浆砌石护坡冲毁，1100m河底冲涮超深0.7-1.2m，左、右岸护坡冲毁塌陷100块500m。退水闸出水口浆砌石护坡维修，1.1看km河底土方回填、衬砌，左、右岸护坡维修。</t>
  </si>
  <si>
    <t>水坡镇西水坡供水工程</t>
  </si>
  <si>
    <t>彭庄村管网损坏</t>
  </si>
  <si>
    <t>洧川镇鲁湾供水工程</t>
  </si>
  <si>
    <t>洪水浸泡水源井周围塌陷、出水量减小</t>
  </si>
  <si>
    <t>水坡镇牛集增压供水工程</t>
  </si>
  <si>
    <t>消毒设备损坏、牛集主管网损坏</t>
  </si>
  <si>
    <t>南曹乡北曹供水工程</t>
  </si>
  <si>
    <t>浸泡水源井周围塌陷、出水量减小</t>
  </si>
  <si>
    <t>张市镇吴岗供水工程</t>
  </si>
  <si>
    <t>配电柜、水泵损坏。老集村主管网损坏</t>
  </si>
  <si>
    <t>朱曲镇菜张供水工程</t>
  </si>
  <si>
    <t>菜张、陈庄主管网损坏</t>
  </si>
  <si>
    <t>X060</t>
  </si>
  <si>
    <t>交通</t>
  </si>
  <si>
    <t>13公里</t>
  </si>
  <si>
    <t>市交通运输局</t>
  </si>
  <si>
    <t>兰考县</t>
  </si>
  <si>
    <t>2022年12月底 农村公路</t>
  </si>
  <si>
    <t>X058</t>
  </si>
  <si>
    <t>3公里</t>
  </si>
  <si>
    <t>2022年6月底 农村公路</t>
  </si>
  <si>
    <t>X053</t>
  </si>
  <si>
    <t>Y009 恢复重建</t>
  </si>
  <si>
    <t>恢复重建道路3.083公里</t>
  </si>
  <si>
    <t>城乡一体化示范区</t>
  </si>
  <si>
    <t>龙亭区Y023私房院段水毁重建项目</t>
  </si>
  <si>
    <t>恢复重建道路1.2公里</t>
  </si>
  <si>
    <t>龙亭区X005吴牛线水毁重建项目</t>
  </si>
  <si>
    <t>恢复重建道路3.6公里</t>
  </si>
  <si>
    <t>龙亭区X004刘辛线水毁重建项目</t>
  </si>
  <si>
    <t>恢复重建道路4.8公里</t>
  </si>
  <si>
    <t>X011万赵线</t>
  </si>
  <si>
    <t>X008杞竹线</t>
  </si>
  <si>
    <t>恢复重建道路21.45公里</t>
  </si>
  <si>
    <t>X001裴泥线</t>
  </si>
  <si>
    <t>恢复重建道路14.6公里</t>
  </si>
  <si>
    <t>X013于宗线</t>
  </si>
  <si>
    <t>恢复重建道路5.6公里</t>
  </si>
  <si>
    <t>X012邢裴线</t>
  </si>
  <si>
    <t>恢复重建道路4.6公里</t>
  </si>
  <si>
    <t>X004高刘线</t>
  </si>
  <si>
    <t>恢复重建道路4.2公里</t>
  </si>
  <si>
    <t>团城西桥</t>
  </si>
  <si>
    <t>恢复重建桥梁12延米</t>
  </si>
  <si>
    <t>幸福渠桥</t>
  </si>
  <si>
    <t>恢复重建桥梁16延米</t>
  </si>
  <si>
    <t>东风干渠桥</t>
  </si>
  <si>
    <t>恢复重建桥梁8延米</t>
  </si>
  <si>
    <t>西铁岗东桥</t>
  </si>
  <si>
    <t>恢复重建桥梁39延米</t>
  </si>
  <si>
    <t>田程寨西桥</t>
  </si>
  <si>
    <t>恢复重建桥梁13延米</t>
  </si>
  <si>
    <t>小魏店北桥</t>
  </si>
  <si>
    <t>恢复重建桥梁15延米</t>
  </si>
  <si>
    <t>李指挥屯南桥</t>
  </si>
  <si>
    <t>恢复重建桥梁22延米</t>
  </si>
  <si>
    <t>淤泥河桥</t>
  </si>
  <si>
    <t>恢复重建桥梁45延米</t>
  </si>
  <si>
    <t>北聂东桥</t>
  </si>
  <si>
    <t>恢复重建桥梁29延米</t>
  </si>
  <si>
    <t>马大夫西桥</t>
  </si>
  <si>
    <t>X002北前线张市至后寨段改建工程</t>
  </si>
  <si>
    <t>恢复重建道路5公里</t>
  </si>
  <si>
    <t>大洧线改建工程</t>
  </si>
  <si>
    <t>霍寨桥</t>
  </si>
  <si>
    <t>恢复重建桥梁36延米</t>
  </si>
  <si>
    <t>X011户北线</t>
  </si>
  <si>
    <t>恢复重建道路7.157公里</t>
  </si>
  <si>
    <t>Y034裴庄-百里池</t>
  </si>
  <si>
    <t>恢复重建道路6公里</t>
  </si>
  <si>
    <t>X013半坡店-朱仙镇</t>
  </si>
  <si>
    <t>恢复重建道路21.13公里</t>
  </si>
  <si>
    <t>Y006魏沈线</t>
  </si>
  <si>
    <t>恢复重建道路5.4公里</t>
  </si>
  <si>
    <t>念张-郭厂村</t>
  </si>
  <si>
    <t>恢复重建道路3.9公里</t>
  </si>
  <si>
    <t>陈八路</t>
  </si>
  <si>
    <t>恢复重建道路10.9公里</t>
  </si>
  <si>
    <t>东刘线东里村段恢复重建</t>
  </si>
  <si>
    <t>恢复重建道路2.213公里</t>
  </si>
  <si>
    <t>2021年已建成</t>
  </si>
  <si>
    <t>尉氏县通村公路恢复重建项目</t>
  </si>
  <si>
    <t>恢复重建道路1.3公里</t>
  </si>
  <si>
    <t>祥符区通村公路恢复重建项目</t>
  </si>
  <si>
    <t>恢复重建道路20公里</t>
  </si>
  <si>
    <t>S223线东三干渠至北康沟河桥段灾后恢复重建工程</t>
  </si>
  <si>
    <t>恢复重建道路14.055公里</t>
  </si>
  <si>
    <t>2022年6月底 普通国省道</t>
  </si>
  <si>
    <t>开封市内河水运灾后恢复重建项目</t>
  </si>
  <si>
    <t>码头泊位8个</t>
  </si>
  <si>
    <t>开封中心客运站</t>
  </si>
  <si>
    <r>
      <rPr>
        <sz val="11"/>
        <rFont val="宋体"/>
        <charset val="134"/>
        <scheme val="minor"/>
      </rPr>
      <t>雨水导致墙体开裂，脱落，需对墙体粉刷面积</t>
    </r>
    <r>
      <rPr>
        <sz val="12"/>
        <rFont val="Times New Roman"/>
        <charset val="134"/>
      </rPr>
      <t>3200</t>
    </r>
    <r>
      <rPr>
        <sz val="12"/>
        <rFont val="仿宋"/>
        <charset val="134"/>
      </rPr>
      <t>平方米，屋顶防水修复面积约</t>
    </r>
    <r>
      <rPr>
        <sz val="12"/>
        <rFont val="Times New Roman"/>
        <charset val="134"/>
      </rPr>
      <t>1580</t>
    </r>
    <r>
      <rPr>
        <sz val="12"/>
        <rFont val="仿宋"/>
        <charset val="134"/>
      </rPr>
      <t>平方米，更换自动售票机</t>
    </r>
    <r>
      <rPr>
        <sz val="12"/>
        <rFont val="Times New Roman"/>
        <charset val="134"/>
      </rPr>
      <t>3</t>
    </r>
    <r>
      <rPr>
        <sz val="12"/>
        <rFont val="仿宋"/>
        <charset val="134"/>
      </rPr>
      <t>台，更换摄像头</t>
    </r>
    <r>
      <rPr>
        <sz val="12"/>
        <rFont val="Times New Roman"/>
        <charset val="134"/>
      </rPr>
      <t>7</t>
    </r>
    <r>
      <rPr>
        <sz val="12"/>
        <rFont val="仿宋"/>
        <charset val="134"/>
      </rPr>
      <t>个，维修更换三品检查仪和</t>
    </r>
    <r>
      <rPr>
        <sz val="12"/>
        <rFont val="Times New Roman"/>
        <charset val="134"/>
      </rPr>
      <t>LED</t>
    </r>
    <r>
      <rPr>
        <sz val="12"/>
        <rFont val="仿宋"/>
        <charset val="134"/>
      </rPr>
      <t>显示屏。</t>
    </r>
  </si>
  <si>
    <t>开封汽车西站</t>
  </si>
  <si>
    <r>
      <rPr>
        <sz val="11"/>
        <rFont val="宋体"/>
        <charset val="134"/>
        <scheme val="minor"/>
      </rPr>
      <t>雨水导致墙体开裂，脱落，需对墙体粉刷面积</t>
    </r>
    <r>
      <rPr>
        <sz val="12"/>
        <rFont val="Times New Roman"/>
        <charset val="134"/>
      </rPr>
      <t>4000</t>
    </r>
    <r>
      <rPr>
        <sz val="12"/>
        <rFont val="仿宋"/>
        <charset val="134"/>
      </rPr>
      <t>平方米，屋顶防水修复面积约</t>
    </r>
    <r>
      <rPr>
        <sz val="12"/>
        <rFont val="Times New Roman"/>
        <charset val="134"/>
      </rPr>
      <t>1650</t>
    </r>
    <r>
      <rPr>
        <sz val="12"/>
        <rFont val="仿宋"/>
        <charset val="134"/>
      </rPr>
      <t>平方米。</t>
    </r>
  </si>
  <si>
    <t>开封汽车东站</t>
  </si>
  <si>
    <r>
      <rPr>
        <sz val="11"/>
        <rFont val="宋体"/>
        <charset val="134"/>
        <scheme val="minor"/>
      </rPr>
      <t>房屋防水修复</t>
    </r>
    <r>
      <rPr>
        <sz val="12"/>
        <rFont val="宋体"/>
        <charset val="134"/>
        <scheme val="minor"/>
      </rPr>
      <t>1537平米，室内吊顶修复300平方米，修复三品检查仪。</t>
    </r>
  </si>
  <si>
    <t>开封宋城路站</t>
  </si>
  <si>
    <r>
      <rPr>
        <sz val="11"/>
        <rFont val="宋体"/>
        <charset val="134"/>
        <scheme val="minor"/>
      </rPr>
      <t>雨水导致墙体开裂，脱落，需对墙体粉刷面积</t>
    </r>
    <r>
      <rPr>
        <sz val="12"/>
        <rFont val="Times New Roman"/>
        <charset val="134"/>
      </rPr>
      <t>2200</t>
    </r>
    <r>
      <rPr>
        <sz val="12"/>
        <rFont val="仿宋"/>
        <charset val="134"/>
      </rPr>
      <t>平方米，修复坍塌路面面积</t>
    </r>
    <r>
      <rPr>
        <sz val="12"/>
        <rFont val="Times New Roman"/>
        <charset val="134"/>
      </rPr>
      <t>220</t>
    </r>
    <r>
      <rPr>
        <sz val="12"/>
        <rFont val="仿宋"/>
        <charset val="134"/>
      </rPr>
      <t>平方米，室内吊顶</t>
    </r>
    <r>
      <rPr>
        <sz val="12"/>
        <rFont val="Times New Roman"/>
        <charset val="134"/>
      </rPr>
      <t>200</t>
    </r>
    <r>
      <rPr>
        <sz val="12"/>
        <rFont val="仿宋"/>
        <charset val="134"/>
      </rPr>
      <t>平方米，超高特殊防水休息面膜</t>
    </r>
    <r>
      <rPr>
        <sz val="12"/>
        <rFont val="Times New Roman"/>
        <charset val="134"/>
      </rPr>
      <t>1900</t>
    </r>
    <r>
      <rPr>
        <sz val="12"/>
        <rFont val="仿宋"/>
        <charset val="134"/>
      </rPr>
      <t>平米，修复坍塌围墙</t>
    </r>
    <r>
      <rPr>
        <sz val="12"/>
        <rFont val="Times New Roman"/>
        <charset val="134"/>
      </rPr>
      <t>70</t>
    </r>
    <r>
      <rPr>
        <sz val="12"/>
        <rFont val="仿宋"/>
        <charset val="134"/>
      </rPr>
      <t>余米，更换电缆</t>
    </r>
    <r>
      <rPr>
        <sz val="12"/>
        <rFont val="Times New Roman"/>
        <charset val="134"/>
      </rPr>
      <t>600</t>
    </r>
    <r>
      <rPr>
        <sz val="12"/>
        <rFont val="仿宋"/>
        <charset val="134"/>
      </rPr>
      <t>米。</t>
    </r>
  </si>
  <si>
    <t>中薛线输气管道</t>
  </si>
  <si>
    <t>能源</t>
  </si>
  <si>
    <t>清理涵洞内淤泥，拆除原有入口，重新修筑</t>
  </si>
  <si>
    <t>市发展改革委</t>
  </si>
  <si>
    <t>土方分层回填压实</t>
  </si>
  <si>
    <t>拆除原有水保，重新修筑水工保护</t>
  </si>
  <si>
    <t>开许线</t>
  </si>
  <si>
    <t>管道上方三处水土流失。</t>
  </si>
  <si>
    <t>2021年兰考县三义寨乡白云山村大棚修复项目</t>
  </si>
  <si>
    <t>乡村振兴</t>
  </si>
  <si>
    <t>修复温室大棚27座</t>
  </si>
  <si>
    <t>市乡村振兴局</t>
  </si>
  <si>
    <t>2018年孙营乡南李佐村产业发展奖补大棚</t>
  </si>
  <si>
    <t>更换4座大棚棚膜、6座大棚棚体塌陷修复</t>
  </si>
  <si>
    <t>2019年通许县孙营乡北孙营、南孙营村设施农业大棚奖补项目</t>
  </si>
  <si>
    <t>34座大棚棚膜更换，30座大棚更换部分钢架</t>
  </si>
  <si>
    <t>2019年通许县竖岗镇百里池村设施农业大棚奖补项目</t>
  </si>
  <si>
    <t>8座大棚更换棚膜、1座大棚棚体修复</t>
  </si>
  <si>
    <t>2018年竖岗镇前刘庄村扶贫产业大棚奖补项目</t>
  </si>
  <si>
    <t>大棚4座棚膜修复</t>
  </si>
  <si>
    <t>2018年玉皇庙镇深度贫困村（西陈集）建设项目</t>
  </si>
  <si>
    <t>完成30个大棚骨架、棚膜、墙体的修复</t>
  </si>
  <si>
    <t>2019年玉皇庙镇西陈集村产业大棚奖补项目</t>
  </si>
  <si>
    <t>24座大棚，重新安装棚门39个，棚膜换新15个</t>
  </si>
  <si>
    <t>2020年通许县冯庄乡陈庄村千亩农业现代产业园项目</t>
  </si>
  <si>
    <t>25座大棚，重新安装棚门36个，棚膜换新7个</t>
  </si>
  <si>
    <t>2020年冯庄乡东双沟村蔬菜大棚建设项目</t>
  </si>
  <si>
    <t>三赵村修复大棚9座，更换棚膜</t>
  </si>
  <si>
    <t>2020年冯庄乡小城村蔬菜大棚建设项目</t>
  </si>
  <si>
    <t>任寨村修复大棚22座，更换棚膜,4座框架修复</t>
  </si>
  <si>
    <t>2019年四所楼镇三赵村设施农业大棚奖补项目</t>
  </si>
  <si>
    <t>仲舒岗村修复大棚10座棚膜，更换棚膜</t>
  </si>
  <si>
    <t>2018年通许县四所楼镇任寨设施农业大棚奖补项目</t>
  </si>
  <si>
    <t>沈公村修复大棚15座棚，更换棚膜</t>
  </si>
  <si>
    <t>2019年通许县四所楼镇仲舒岗村设施农业大棚奖补项目</t>
  </si>
  <si>
    <t>11座大棚薄膜更换</t>
  </si>
  <si>
    <t>2019年通许县四所楼镇沈公村设施农业大棚奖补项目</t>
  </si>
  <si>
    <t>2座鸭棚压塌修复</t>
  </si>
  <si>
    <t>2018年长智镇东芦氏村蔬菜大棚项目</t>
  </si>
  <si>
    <t>11座大棚棚膜修复</t>
  </si>
  <si>
    <t>2018年长智镇东芦氏村鸭棚</t>
  </si>
  <si>
    <t>5座大棚棚膜修复</t>
  </si>
  <si>
    <t>2019年通许县长智镇老王庄村蔬菜大棚项目（深度贫困村项目）</t>
  </si>
  <si>
    <t>修复框架下陷的5座冷棚；修复塑料薄膜受损的3座冷棚；修复塑料薄膜受损的13座冷棚。</t>
  </si>
  <si>
    <t>2018年长智镇老王庄村深度贫困村蔬菜大棚项目</t>
  </si>
  <si>
    <t>厉大楼村15座冷棚，9个占地3亩，6个占地2.5亩，因汛情影响，塑料薄膜已全部损毁，需重新覆盖维修。</t>
  </si>
  <si>
    <t>2020年通许县练城乡拐王村扶贫产业园大棚建设项目</t>
  </si>
  <si>
    <t>彪岗村8座大棚，每座占地2亩，防风卷帘严重损毁，需要修复。</t>
  </si>
  <si>
    <t>2019年练城乡厉大楼村产业奖补大棚</t>
  </si>
  <si>
    <t>77座大棚棚膜修复、大棚门更换25个</t>
  </si>
  <si>
    <t>2019年练城乡彪岗村产业奖补大棚</t>
  </si>
  <si>
    <t>3座大棚棚膜修复、1座大棚骨架，30座大棚棚门</t>
  </si>
  <si>
    <t>2018年朱砂镇斗厢村设施农业大棚奖补项目</t>
  </si>
  <si>
    <t>9座半冬暖大棚棚膜、棚体修复</t>
  </si>
  <si>
    <t>2018年大岗李乡浦口村产业大棚项目</t>
  </si>
  <si>
    <t>仲庄村5座冷棚，每座占地09亩，塑料薄膜已全部损毁，需重新覆盖维修:其中3座大棚骨架需进行维修。</t>
  </si>
  <si>
    <t>2019年玉皇庙镇阜牛岗设施农业奖补大棚项目</t>
  </si>
  <si>
    <t>东时村6座冷棚因汛情影响，其中2座大棚薄膜需要进行修复，4座大棚薄膜需重新覆盖维修。</t>
  </si>
  <si>
    <t>2019年邸阁乡仲庄村设施农业奖补大棚项目</t>
  </si>
  <si>
    <t>6座大棚棚膜修复，更换棚膜</t>
  </si>
  <si>
    <t>2019年邸阁乡东时村设施农业奖补大棚项目</t>
  </si>
  <si>
    <t>2019年四所楼镇岭西村设施农业奖补大棚项目</t>
  </si>
  <si>
    <t>2019年陈留镇十里铺村贫困村提升工程村内道路</t>
  </si>
  <si>
    <t>通村道路0.5公里</t>
  </si>
  <si>
    <t>2019年陈留镇八里庙村贫困村提升工程村内道路</t>
  </si>
  <si>
    <t>通村道路0.05公里</t>
  </si>
  <si>
    <t>2019年仇楼镇十里铺村贫困村提升工程村内道路</t>
  </si>
  <si>
    <t>通村道路0.2公里</t>
  </si>
  <si>
    <t>2019年八里湾镇大马营村贫困村提升工程村内道路</t>
  </si>
  <si>
    <t>通村道路4公里</t>
  </si>
  <si>
    <t>2017年八里湾镇磨角楼村村内道路建设项目</t>
  </si>
  <si>
    <t>通村道路1.5公里</t>
  </si>
  <si>
    <t>2017年曲兴镇后湾村村内道路建设项目</t>
  </si>
  <si>
    <t>通村道路0.03公里</t>
  </si>
  <si>
    <t>2018年曲兴镇耿楼村村内道路</t>
  </si>
  <si>
    <t>通村道路5公里</t>
  </si>
  <si>
    <t>2019年曲兴镇东田村贫困村提升工程村内道路</t>
  </si>
  <si>
    <t>通村道路0.02公里</t>
  </si>
  <si>
    <t>罗王镇冯庄村村内道路建设项目</t>
  </si>
  <si>
    <t>通村道路0.3公里</t>
  </si>
  <si>
    <t>刘店乡刘店村贫困村提升工程村内道路</t>
  </si>
  <si>
    <t>通村道路1.2公里</t>
  </si>
  <si>
    <t>2018年刘店乡杜庄村村内道路</t>
  </si>
  <si>
    <t>2019年刘店乡郭景村贫困村提升工程村内道路</t>
  </si>
  <si>
    <t>通村道路0.15公里</t>
  </si>
  <si>
    <t>2015年刘店乡王楼村内道路建设项目</t>
  </si>
  <si>
    <t>刘店乡西租良村内道路建设项目</t>
  </si>
  <si>
    <t>通村道路0.8公里</t>
  </si>
  <si>
    <t>2017年袁坊乡毛庄村村内道路建设项目</t>
  </si>
  <si>
    <t>通村道路0.17公里</t>
  </si>
  <si>
    <t>袁坊乡张吴寨村村内道路建设项目</t>
  </si>
  <si>
    <t>通村道路1公里</t>
  </si>
  <si>
    <t>2017年袁坊乡付东村村内道路建设项目</t>
  </si>
  <si>
    <t>通村道路0.14公里</t>
  </si>
  <si>
    <t>2018袁坊乡方庄村村内道路</t>
  </si>
  <si>
    <t>通村道路0.6公里</t>
  </si>
  <si>
    <t>袁坊乡前孙富庄村内道路</t>
  </si>
  <si>
    <t>2018袁坊乡后孙富庄村内道路</t>
  </si>
  <si>
    <t>2019袁坊乡府君寺村贫困村提升工程村内道路</t>
  </si>
  <si>
    <t>通村道路0.12公里</t>
  </si>
  <si>
    <t>杜良乡米砦村村内道路</t>
  </si>
  <si>
    <t>2018年西姜寨乡段木周村内道路</t>
  </si>
  <si>
    <t>通村道路5.33公里</t>
  </si>
  <si>
    <t>2016年西姜寨乡李店村村内道路</t>
  </si>
  <si>
    <t>通村道路、下水道0.8公里、0.183公里</t>
  </si>
  <si>
    <t>2016年西姜寨乡白庄村村内道路</t>
  </si>
  <si>
    <t>通村道路2.3公里</t>
  </si>
  <si>
    <t>2018年市派第一书记专项扶贫刘店乡束庄村资金（路灯）</t>
  </si>
  <si>
    <t>路灯15盏</t>
  </si>
  <si>
    <t>2017年袁坊乡付东村扶贫车间建设项目</t>
  </si>
  <si>
    <t>扶贫车间200平方</t>
  </si>
  <si>
    <t>2017年兴隆乡李大河村扶贫车间建设项目</t>
  </si>
  <si>
    <t>扶贫车间15平方</t>
  </si>
  <si>
    <t>2017年袁坊乡毛庄村扶贫车间建设项目</t>
  </si>
  <si>
    <t>2017年八里湾镇闫呈岗村到户增收项目</t>
  </si>
  <si>
    <t>蔬菜大棚2个</t>
  </si>
  <si>
    <t>2019年罗王乡翟庄村蔬菜大棚建设项目</t>
  </si>
  <si>
    <t>2016年刘店村到户增收项目</t>
  </si>
  <si>
    <t>蔬菜大棚15个</t>
  </si>
  <si>
    <t>2020年范村乡传里寨村蔬菜大棚建设项目</t>
  </si>
  <si>
    <t>蔬菜大棚7个</t>
  </si>
  <si>
    <t>尉氏县大马乡八里庙村种植花生、养鸡产业扶持奖补项目</t>
  </si>
  <si>
    <t>修复地基1000平方，裂缝100米。</t>
  </si>
  <si>
    <t>2018年朱曲镇黄湖村扶贫车间项目</t>
  </si>
  <si>
    <t>修复地基下沉，重建围墙倒塌30米</t>
  </si>
  <si>
    <t>2018朱曲镇黄湖村基础设施建设项目</t>
  </si>
  <si>
    <t>路面修复</t>
  </si>
  <si>
    <t>2017南曹乡中山村扶贫车间</t>
  </si>
  <si>
    <t>室内地坪修复500平方，车间地表刷漆500平方</t>
  </si>
  <si>
    <t>2017南曹乡砖楼村扶贫车间</t>
  </si>
  <si>
    <t>彩钢石棉瓦房顶修复60平方米</t>
  </si>
  <si>
    <t>南曹乡蒋沟村2019年度村内道路建设项目</t>
  </si>
  <si>
    <t>蒋沟村维修路基、路面1000米4000平方米</t>
  </si>
  <si>
    <t>南曹乡蒋沟村2014年村内道路建设项目</t>
  </si>
  <si>
    <t>2019年大桥乡产业发展项目周庄村森簏服饰</t>
  </si>
  <si>
    <t>修复全自动裁床机1台；修复烫熨机一台；修复塌陷墙体330平方米，地面120平方米，窗户11个。</t>
  </si>
  <si>
    <t>2017年大桥乡岗刘村基础设施建设项目</t>
  </si>
  <si>
    <t>修复路基</t>
  </si>
  <si>
    <t>2017年度小陈乡靳老村乡村道路建设项目</t>
  </si>
  <si>
    <t>修复路基、路面100平方米</t>
  </si>
  <si>
    <t>2020年度岗李乡冉村建设食用菌大棚、保鲜库产业扶贫项目</t>
  </si>
  <si>
    <t>修复沉淀池2个，一个大棚称重柱子下沉，棚顶破损</t>
  </si>
  <si>
    <t>2019年度尉氏县岗李乡占庄村建设扶贫加工点产业扶贫项目</t>
  </si>
  <si>
    <t>修缮围墙地基、办公室吊顶1间、电动门电机1个</t>
  </si>
  <si>
    <t>尉氏县水坡镇仝家村蔬菜大棚项目</t>
  </si>
  <si>
    <t>34座温室蔬菜大棚（双层）。100米长、8米宽、3.5米高</t>
  </si>
  <si>
    <t>尉氏县水坡镇齐岗村蔬菜大棚项目</t>
  </si>
  <si>
    <t>20座温室蔬菜大棚。100米长、8米宽、3.5米高</t>
  </si>
  <si>
    <t>尉氏县水坡镇老李村蔬菜大棚项目</t>
  </si>
  <si>
    <t>22座温室蔬菜大棚。100米长、8米宽、3.5米高</t>
  </si>
  <si>
    <t>尉氏县水坡镇横堤村蔬菜大棚项目</t>
  </si>
  <si>
    <t>拟建设80座大棚（冷棚），规格：宽8米，长90米，高3.2米，拟占地100亩，建设资金395余万元，棚内设施地灌和喷灌。喷灌每个棚需要180米；地灌每20个棚配一个压力罐，每一个蔬菜大棚一个浇水口。</t>
  </si>
  <si>
    <t>水坡镇横堤村2018年扶贫车间</t>
  </si>
  <si>
    <t>修复漏雨面积260平方，修复地基20米。</t>
  </si>
  <si>
    <t>水坡镇横堤村2019年扶贫车间</t>
  </si>
  <si>
    <t>修复漏雨面积100平方</t>
  </si>
  <si>
    <t>2019年水坡镇横堤村基础设施项目</t>
  </si>
  <si>
    <t>修复路面60米：土方长60米，宽3米，深1.8米；基础外挖长60米，宽4.5米；路面修复长60米，宽3米；护坡长60米，宽2米。</t>
  </si>
  <si>
    <t>2020年永兴镇刘符陈村基础设施建设</t>
  </si>
  <si>
    <t>修复道路路基30米，120平方米</t>
  </si>
  <si>
    <t>2019年永兴镇刘符陈村基础设施建设</t>
  </si>
  <si>
    <t>修复道路路基20米，80平方米</t>
  </si>
  <si>
    <t>2020张市镇沈家村晋冬枣温室大棚</t>
  </si>
  <si>
    <t>沈家村2座大棚棚膜更换</t>
  </si>
  <si>
    <t>2019张市镇郑岗村14座大棚</t>
  </si>
  <si>
    <t>郑岗村10座大棚棚膜更换</t>
  </si>
  <si>
    <t>2019张市镇边岗村大棚建设</t>
  </si>
  <si>
    <t>边岗村4座大棚棚膜更换</t>
  </si>
  <si>
    <t>2019庄头镇田家村钢结构标准棚7座</t>
  </si>
  <si>
    <t>7座修复外表塑料膜</t>
  </si>
  <si>
    <t>2020庄头镇田家村钢结构标准棚3座，养殖棚2座</t>
  </si>
  <si>
    <t>3座修复外表塑料膜、2座修复外表保温棉</t>
  </si>
  <si>
    <t>2019庄头镇于家村钢结构标准棚3座</t>
  </si>
  <si>
    <t>3座修复外表塑料膜</t>
  </si>
  <si>
    <t>2020庄头镇于家村养殖棚2座</t>
  </si>
  <si>
    <t>2座修复地基</t>
  </si>
  <si>
    <t>2020庄头镇二家张村蔬菜温室棚</t>
  </si>
  <si>
    <t>1座修复外表塑料膜，10个电机水淹损坏，1个配电盘水淹损坏，需要换新</t>
  </si>
  <si>
    <t>尉氏县庄头镇王家村蔬菜、水果大棚建设产业扶贫项目</t>
  </si>
  <si>
    <t>建设蔬菜、水果产业大棚30座</t>
  </si>
  <si>
    <t>正在实施</t>
  </si>
  <si>
    <t>尉氏县洧川镇湾李村建设食用菌大棚应急能力提升产业项目</t>
  </si>
  <si>
    <t>建七座出菇大棚，每座大棚造价30.84万元。每座大棚设计长度30米，宽度10米，高度4.5米。</t>
  </si>
  <si>
    <t>2019庄头镇庄头村扶贫车间</t>
  </si>
  <si>
    <t>庄头村扶贫车间需要修复围墙裂缝长12米，高2米，地坪塌陷10平方；水泡电动缝纫机5台、大型发电机组一台。</t>
  </si>
  <si>
    <t>邢庄乡大庙杨村2020年新建食用菌种植大棚产业扶贫项目</t>
  </si>
  <si>
    <t>需要修复41个大棚（26000平方）及配套水电；</t>
  </si>
  <si>
    <t>2017年度邢庄乡大庙杨村产业扶贫发展项目（扶贫车间）</t>
  </si>
  <si>
    <t>修复墙体，墙裙25米，修复地坪70平方</t>
  </si>
  <si>
    <t>2018年度尉氏县大马乡马古岗村扶贫车间建设项目</t>
  </si>
  <si>
    <t>屋顶防水220平方米，西房屋翻修、西墙群加固。</t>
  </si>
  <si>
    <t>2017年度大马乡胡陈村乡村道路建设项目</t>
  </si>
  <si>
    <t>路面修复，桥涵翻建</t>
  </si>
  <si>
    <t>2018年度尉氏县大马乡胡陈村扶贫车间建设项目</t>
  </si>
  <si>
    <t>车间内地坪修复10公分厚 C25水泥砼1300平方米</t>
  </si>
  <si>
    <t>尉氏县大马乡八里庙村自动化分拣及高标准电商平台产业扶贫项目</t>
  </si>
  <si>
    <t>修缮车间围墙110平方米，屋顶防水160平方米，室内吊顶1850平方，线路维修10平方电线，</t>
  </si>
  <si>
    <t>杞县圉镇镇江庄村小型农田水利工程项目</t>
  </si>
  <si>
    <t>尉氏县基层敬老院灾后重建工程建设项目</t>
  </si>
  <si>
    <t>民政</t>
  </si>
  <si>
    <t>对全县13所公办养老机构进行灾后维修及院民所需受灾设施设备购买完善。</t>
  </si>
  <si>
    <t>庄头敬老院完成墙体粉刷，正在进行绿化和设备采购</t>
  </si>
  <si>
    <t>市民政局</t>
  </si>
  <si>
    <t>尉氏县社会福利中心受损设施恢复重建</t>
  </si>
  <si>
    <t>对福利中心院内的房屋、围墙、管网、用电线路、消防设施、道路等进行恢复重建。</t>
  </si>
  <si>
    <t>完成护坡绿化、监控设备维修更换</t>
  </si>
  <si>
    <t>尉氏县蔡庄镇罗庄小学</t>
  </si>
  <si>
    <t>教育</t>
  </si>
  <si>
    <t>计划投入资金2万元，维修加固厕所100平方米。</t>
  </si>
  <si>
    <t>市教体局</t>
  </si>
  <si>
    <t>尉氏县蔡庄镇中心小学</t>
  </si>
  <si>
    <t>计划投入资金2.4万元，维修加固厕所120平方米。</t>
  </si>
  <si>
    <t>尉氏县大马乡马古岗小学</t>
  </si>
  <si>
    <t>计划投入资金0.26万元，维修加固门卫室40平方米。</t>
  </si>
  <si>
    <t>尉氏县大马乡任泽小学</t>
  </si>
  <si>
    <t>计划投入资金0.3万元，维修加固办公室及器材室72平方米。</t>
  </si>
  <si>
    <t>尉氏县岗李乡段庄小学</t>
  </si>
  <si>
    <t>计划投入资金1.2万元，维修加固大门30平方米。</t>
  </si>
  <si>
    <t>尉氏县岗李乡肖庄小学</t>
  </si>
  <si>
    <t>计划投入资金8万元，维修加固教室200平方米。</t>
  </si>
  <si>
    <t>尉氏县南曹乡代庄小学</t>
  </si>
  <si>
    <t>计划投入资金3.16万元，维修加固校园厕所80平方米。</t>
  </si>
  <si>
    <t>尉氏县水坡镇老李小学</t>
  </si>
  <si>
    <t>计划投入资金11万元，维修加固教室252平方米。</t>
  </si>
  <si>
    <t>尉氏县水坡镇牛集小学</t>
  </si>
  <si>
    <t>计划投入资金5.5万元，维修加固综合用房150平方米。</t>
  </si>
  <si>
    <t>尉氏县水坡镇瓦岗小学</t>
  </si>
  <si>
    <t>计划投入资金3万元，维修加固功能室90平方米。</t>
  </si>
  <si>
    <t>尉氏县邢庄乡丁庄小学</t>
  </si>
  <si>
    <t>计划投入资金6万元，维修加固北教学楼（西）180平方米。</t>
  </si>
  <si>
    <t>尉氏县永兴镇黄岗小学</t>
  </si>
  <si>
    <t>计划投入资金2万元，维修加固储藏50平方米。</t>
  </si>
  <si>
    <t>尉氏县永兴镇三柳小学</t>
  </si>
  <si>
    <t>计划投入资金2万元，维修加固功能室180平方米。</t>
  </si>
  <si>
    <t>尉氏县庄头镇第二初级中学</t>
  </si>
  <si>
    <t>计划投入资金0.8万元，维修加固门卫室50平方米。</t>
  </si>
  <si>
    <t>尉氏县庄头镇小营小学</t>
  </si>
  <si>
    <t>计划投入资金12万元，维修加固厕所240平方米。</t>
  </si>
  <si>
    <t>尉氏县庄头镇郑店小学</t>
  </si>
  <si>
    <t>计划投入资金9万元，维修加固教师辅助用房及门卫室232平方米。</t>
  </si>
  <si>
    <t>尉氏县洧川镇育才小学</t>
  </si>
  <si>
    <t>计划投入资金15万元，维修加固育才小学教学楼195平方米。</t>
  </si>
  <si>
    <t>尉氏县庄头镇中心学校</t>
  </si>
  <si>
    <t>计划投入资金90.4万元，维修加固8号教学楼1130平方米。</t>
  </si>
  <si>
    <t>尉氏县庄头镇文家小学</t>
  </si>
  <si>
    <t>计划投入资金69万元，维修加固北教学楼870平方米。</t>
  </si>
  <si>
    <t>开封市尉氏县村卫生室灾后恢复重建项目（114个）</t>
  </si>
  <si>
    <t>卫生健康</t>
  </si>
  <si>
    <t>村卫生室房屋修缮改造面积13680平方米，设施设备更新。</t>
  </si>
  <si>
    <t>尉氏县114所村卫生室已全部开工。其中蔡庄乡：南街、水台、刘拐、村卫生室主体完工、十八里村室、马家、石槽李、金针主体完工。张市邢庄、村室地基回填剩余村室正在施工中。</t>
  </si>
  <si>
    <t>市卫生健康委</t>
  </si>
  <si>
    <t>2022年12月底</t>
  </si>
  <si>
    <t>开封市尉氏县乡镇卫生院灾后恢复重建项目（17个）</t>
  </si>
  <si>
    <t>岗李、洧川、张市、十八里、蔡庄、蔡庄刘拐、大桥、朱曲、大营、永兴、邢庄、门楼任、小陈、南曹、大马、水坡等16个乡镇卫生院维修修缮，设备维修购置190台，庄头卫生院恢复重建。</t>
  </si>
  <si>
    <t>17家卫生院全部开工，已6家卫生院完成院内修缮工作。其中庄头卫生院：综合病房楼六层封顶完毕；蔡庄卫生院：正在购置空调并进行医疗设备招标。剩余乡卫生院正在推进院内修缮工作。</t>
  </si>
  <si>
    <t>开封市尉氏县疾控中心灾后恢复重建项目</t>
  </si>
  <si>
    <t>后勤设备设施雨水冲刷53台、医疗设备12台、信息类设备9台、车辆受损3台。</t>
  </si>
  <si>
    <t>CT和心电图购买申请已获县卫健委审批正在等待上级部门批准</t>
  </si>
  <si>
    <t>开封市尉氏县120指挥中心灾后恢复重建项目</t>
  </si>
  <si>
    <t>房屋漏水维修1000平方米，外墙维修3520平方米，室内漏水造成吊顶及墙地面的恢复，楼内屋面改造，视频监控维修更换，信息设备维修更换。</t>
  </si>
  <si>
    <t>项目已完工。</t>
  </si>
  <si>
    <t>开封市尉氏县中医院灾后恢复重建项目</t>
  </si>
  <si>
    <t>门诊楼、病房、医技综合楼地基及附属设施、配电机房设施。</t>
  </si>
  <si>
    <t>正在进行院内路面加固</t>
  </si>
  <si>
    <t>开封市尉氏县中心医院灾后恢复重建项目</t>
  </si>
  <si>
    <t>医疗设备项目：DSA数字减影设备1台、DRX线拍片机1台1、16排ct 1台、胃肠机1台、激光胶片打印机6台。</t>
  </si>
  <si>
    <t>已购置完成DSA、CT、救护车等设备。</t>
  </si>
  <si>
    <t>开封市尉氏县人民医院灾后恢复重建项目</t>
  </si>
  <si>
    <t>房屋建筑漏水4283平方米，后勤设备受损1台。</t>
  </si>
  <si>
    <t>屋顶天沟维修完工。</t>
  </si>
  <si>
    <t>开封市尉氏县第二人民医院灾后恢复重建项目</t>
  </si>
  <si>
    <t>房屋建筑漏水2620平方米，后勤设施设备受损8台。</t>
  </si>
  <si>
    <t>正在进行院墙加固。</t>
  </si>
  <si>
    <t>开封公共图书馆灾后修复重建项目</t>
  </si>
  <si>
    <t>公共文化</t>
  </si>
  <si>
    <t>尉氏县图书馆：因漏雨损毁的房顶需全部重新防水、修复室内外墙面以及脱落吊顶</t>
  </si>
  <si>
    <t>正在进行基础修复</t>
  </si>
  <si>
    <t>市文化广电旅游局</t>
  </si>
  <si>
    <t>2023年8月底前 公共图书馆</t>
  </si>
  <si>
    <t>开封文化馆灾后修复重建项目</t>
  </si>
  <si>
    <t>尉氏县文化活动室浸水；文化馆屋顶漏水；需重新装修文化活动室，修复屋顶。</t>
  </si>
  <si>
    <t>2023年12月</t>
  </si>
  <si>
    <t>2023年8月底前 文化馆</t>
  </si>
  <si>
    <t>开封尉氏县文化站灾后重建</t>
  </si>
  <si>
    <t>庄头镇文化站在暴雨中地基下陷，需要重建，建设不低于1000平方米的文化广场，主体建设不低于1000平方米，内设多功能厅，图书室，培训教室 。</t>
  </si>
  <si>
    <r>
      <rPr>
        <sz val="11"/>
        <rFont val="宋体"/>
        <charset val="134"/>
        <scheme val="minor"/>
      </rPr>
      <t>2023年8月底前 文化站</t>
    </r>
    <r>
      <rPr>
        <sz val="11"/>
        <rFont val="宋体"/>
        <charset val="134"/>
        <scheme val="minor"/>
      </rPr>
      <t>修复</t>
    </r>
  </si>
  <si>
    <t>开封尉氏县综合性文化服务中心灾后修复项目</t>
  </si>
  <si>
    <t>尉氏县共有295个村级文化广场在暴雨中被水淹，冲毁，需要对文化广场进行修复重建。每个文化广场建设管理用房30平方。</t>
  </si>
  <si>
    <t>2023年8月底前 综合性文化服务中心灾后修复</t>
  </si>
  <si>
    <t>尉氏县综合性文化服务中心灾后重建项目</t>
  </si>
  <si>
    <t>暴雨中文化活动室受损严重，地基下陷，墙体开裂。每村需重建300平方的文化活动室，1000平方的文化广场；（7个村）</t>
  </si>
  <si>
    <t>2023年8月底前 综合性文化服务中心灾后重建</t>
  </si>
  <si>
    <t>开封尉氏智慧书房灾后修复重建项目</t>
  </si>
  <si>
    <t>受暴雨影响，书房房顶渗水，地板浸泡无法使用，电线受损。</t>
  </si>
  <si>
    <t>2023年8月底前 城市书房</t>
  </si>
  <si>
    <t>尉氏县水毁农田新建项目</t>
  </si>
  <si>
    <t>农业</t>
  </si>
  <si>
    <t>104000亩</t>
  </si>
  <si>
    <t>2022年6月</t>
  </si>
  <si>
    <t>市农业农村局</t>
  </si>
  <si>
    <t>尉氏县水毁农田重建项目</t>
  </si>
  <si>
    <t>92270亩</t>
  </si>
  <si>
    <t>2023年6月</t>
  </si>
  <si>
    <t>2024年12月</t>
  </si>
  <si>
    <t>Ⅰ类，2022年6月开工</t>
  </si>
  <si>
    <t>尉氏县水毁农田恢复项目</t>
  </si>
  <si>
    <t>115002亩</t>
  </si>
  <si>
    <t>2021年9月</t>
  </si>
  <si>
    <t>Ⅱ类，2022年6月底</t>
  </si>
  <si>
    <t>尉氏县水毁农田应急修复项目</t>
  </si>
  <si>
    <t>40778亩</t>
  </si>
  <si>
    <t>2021年12月</t>
  </si>
  <si>
    <t>Ⅲ类，2021年已完成</t>
  </si>
  <si>
    <t>杞县水毁农田新建项目</t>
  </si>
  <si>
    <t>185320亩</t>
  </si>
  <si>
    <t>杞县水毁农田应急修复项目</t>
  </si>
  <si>
    <t>20000亩</t>
  </si>
  <si>
    <t>禹王台区水毁农田新建项目</t>
  </si>
  <si>
    <t>9800亩</t>
  </si>
  <si>
    <t>通许县水毁农田新建项目</t>
  </si>
  <si>
    <t>46000亩</t>
  </si>
  <si>
    <t>通许县水毁农田恢复项目</t>
  </si>
  <si>
    <t>6650亩</t>
  </si>
  <si>
    <t>通许县水毁农田应急修复项目</t>
  </si>
  <si>
    <t>1400亩</t>
  </si>
  <si>
    <t>祥符水毁农田新建项目</t>
  </si>
  <si>
    <t>240000亩</t>
  </si>
  <si>
    <t>祥符水毁农田应急修复项目</t>
  </si>
  <si>
    <t>60000亩</t>
  </si>
  <si>
    <t>尉氏县国有林场林业基础设施重建项目</t>
  </si>
  <si>
    <t>林业</t>
  </si>
  <si>
    <t>修建房屋2500平米，修复围墙1000米，防火设备150台，病虫害防治设备70台，修复或重建其它基础设施，塌方及泥石流清理修复。</t>
  </si>
  <si>
    <t>市林业局</t>
  </si>
  <si>
    <t>尉氏县造林灾后重建项目</t>
  </si>
  <si>
    <t>灾后重建造林、补植面积约6200亩</t>
  </si>
  <si>
    <t>目前，涉及林业灾后重建造林、补植的岗李乡、大营镇由于划归港区管理，无法再实施，造林总计划减少,灾后重建造林总投资为1448.9万元。</t>
  </si>
  <si>
    <t>禹王台区应急物资储备中心</t>
  </si>
  <si>
    <t>应急</t>
  </si>
  <si>
    <t>应急指挥大厅、配套办公楼、消防配套用房、应急物资储备库建设。</t>
  </si>
  <si>
    <t>市应急局</t>
  </si>
  <si>
    <t>兰考县医疗应急物资储备库项目</t>
  </si>
  <si>
    <t>占地52.36亩，总建筑面积22341.53平方米。其中1、3号仓库地上一层；2号仓库地上两层。</t>
  </si>
  <si>
    <t>一号储备库、三号储备库土方回填，二号储备库模板加工及安装。</t>
  </si>
  <si>
    <t>开封市市政公用设施洪涝灾害损毁修复工程</t>
  </si>
  <si>
    <t>市政</t>
  </si>
  <si>
    <t>仁和屯、东郊沟、包公湖、河池等10个泵站、6个闸门损坏更换，以及调蓄池、进水渠、出水口、污水管网和设备等损毁修复。</t>
  </si>
  <si>
    <t>市城管局</t>
  </si>
  <si>
    <t>开封市卫生学校校舍灾后恢复重建项目</t>
  </si>
  <si>
    <t>学校东校区1号宿舍楼610平方米、3号宿舍楼楼顶780平方米，合计1390平方米的屋顶防水改造。</t>
  </si>
  <si>
    <t>2021年已完工</t>
  </si>
  <si>
    <t>开封市妇幼保健院灾后恢复重建项目</t>
  </si>
  <si>
    <t>老院区水毁防水工程修复1650㎡；被水浸泡的医用护墙板及木地板进行更换，强电箱、弱电箱、平板灯更换，修复老院区塌陷的排水管沟。</t>
  </si>
  <si>
    <t>开封市人民医院灾后恢复重建项目</t>
  </si>
  <si>
    <t>重建或恢复屋顶约1000㎡，外墙约2000㎡。</t>
  </si>
  <si>
    <t>开封市儿童医院损毁重建项目</t>
  </si>
  <si>
    <t>楼体加固总建筑面积10518㎡，坡道断裂修建面积180㎡，屋顶漏水维修面积1181㎡。</t>
  </si>
  <si>
    <t>开封市祥符区惠济河险工治理和灾后恢复重建项目</t>
  </si>
  <si>
    <t>整治河段除涝标准采用五年一遇，防洪标准为五十年一遇，堤防设计标准为4级。河道上主要建筑物按4级建筑物设计。主要包括河道疏浚、两岸堤防加高培厚，重建排水涵洞3座，重建生产桥3座，群力闸架设变压器、高压线路。</t>
  </si>
  <si>
    <t>开封市尉氏县刘麦河南段水毁工程灾害恢复重建项目</t>
  </si>
  <si>
    <t>修复河道六棱砖护坡2531m，损毁道路修复3724m，护坡绿化重建12000㎡。</t>
  </si>
  <si>
    <t>尉氏县城区积水点治理项目</t>
  </si>
  <si>
    <t xml:space="preserve">滨河东路与行政北路交叉口	改造及新增北二环雨水管道（建设路-刘麦河），双侧布置，长度1600米，管径d800-2000汽车北站西门至南门段汽车站门口增设多联雨水口4座，贯通建设路东西两侧雨水管道，设计管径d800，长度约85米尉州大道刘麦河交叉口,交叉口西北角绿化带内，建设规模2m3/s行政北路永美大公馆南门雨污水管道混错接改造，长度约200米。尉缭路建兴鸿郡北街与行政北路、北二环交叉口处管道连通，长度约220米三师附小北校区门口改造温泉路沿线雨水口约16座，沿线小区雨污分流改造。</t>
  </si>
  <si>
    <r>
      <rPr>
        <b/>
        <sz val="10.5"/>
        <rFont val="Times New Roman"/>
        <charset val="134"/>
      </rPr>
      <t>2021</t>
    </r>
    <r>
      <rPr>
        <b/>
        <sz val="10.5"/>
        <rFont val="宋体"/>
        <charset val="134"/>
      </rPr>
      <t>年年度计划（万元）</t>
    </r>
  </si>
  <si>
    <r>
      <rPr>
        <b/>
        <sz val="10.5"/>
        <rFont val="Times New Roman"/>
        <charset val="134"/>
      </rPr>
      <t>2022</t>
    </r>
    <r>
      <rPr>
        <b/>
        <sz val="10.5"/>
        <rFont val="宋体"/>
        <charset val="134"/>
      </rPr>
      <t>年年度计划（万元）</t>
    </r>
  </si>
  <si>
    <r>
      <rPr>
        <b/>
        <sz val="10.5"/>
        <rFont val="Times New Roman"/>
        <charset val="134"/>
      </rPr>
      <t>2023</t>
    </r>
    <r>
      <rPr>
        <b/>
        <sz val="10.5"/>
        <rFont val="宋体"/>
        <charset val="134"/>
      </rPr>
      <t>年年度计划（万元）</t>
    </r>
  </si>
  <si>
    <t>计划开工时间（具体到年月日）</t>
  </si>
  <si>
    <t>计划竣工时间（具体到年月日）</t>
  </si>
  <si>
    <t>责任单位</t>
  </si>
  <si>
    <t>核算（累计完成投资）</t>
  </si>
  <si>
    <t>应完成年度投资比例</t>
  </si>
  <si>
    <t>实际完成年度投资比例</t>
  </si>
  <si>
    <t>开封市城区2019年农村饮水安全巩固提升工程基础设施修复</t>
  </si>
  <si>
    <t>供水管道、厂（站）基建设施以及供水设施等</t>
  </si>
  <si>
    <t>已完成</t>
  </si>
  <si>
    <t>城乡供水管道水毁修复</t>
  </si>
  <si>
    <t>水毁城乡供水管道修复</t>
  </si>
  <si>
    <t>开封市黑岗口引黄调蓄水库水毁修复</t>
  </si>
  <si>
    <t>水毁修复护岸4500米</t>
  </si>
  <si>
    <t>马家河修复提升项目</t>
  </si>
  <si>
    <t>护岸滑塌，冲毁约12.5km，路基下掏空、路面坍塌破坏约0.49km，堤防修复约2.9km。</t>
  </si>
  <si>
    <t>宋湾函闸，司岗涵闸，小蒋河大高寨段水利修复建设项目</t>
  </si>
  <si>
    <t>宋湾函闸，司岗涵闸，小蒋河大高寨段加固堤防250米</t>
  </si>
  <si>
    <t>马家河综合治理（晋安路-宋城路蓄滞洪）水毁修复工程</t>
  </si>
  <si>
    <t>滞蓄洪工程、建筑物工程、防渗工程、河道治理、节制闸</t>
  </si>
  <si>
    <t>黑岗口引黄调蓄水库灾后重建及维护工程</t>
  </si>
  <si>
    <t>维修损坏区域园路、码头、喷淋、监控、绿化、亮化、升降路桩、变压器、配电箱、河道清淤、渔业养殖等</t>
  </si>
  <si>
    <t>黑岗口中型灌区续建配套与节水改造</t>
  </si>
  <si>
    <t>新建渠首10m?/s泵站1处，衬砌干渠33.78km，其中总干渠衬砌护坡1.5km，东干渠衬砌护坡32.28km；巡渠道路36.94km，其中东干渠23.59km，西干渠4.4km，南干渠8.95km；衬砌支渠9条，长度18.58km，清淤疏浚渠沟6条，长度26.35km；配套建筑物226座</t>
  </si>
  <si>
    <t>一期已完成，二期正在评审中</t>
  </si>
  <si>
    <t>2022年度通许县水毁修复工程</t>
  </si>
  <si>
    <t>涡河、铁底河、枣林沟、标台沟维修沿线涵闸、恢复防汛管理道路、堤防，疏浚清淤；前李节制闸、厉庄节制闸、裴庄节制闸、箍桶刘节制闸、西关节制闸、林场节制闸等6座水闸、管理道路水毁严重、上下游翼墙护坡坍塌断裂、闸门启闭机损坏等进行修复、更换启闭设施.赵口灌区涡河故道闸拐王闸、杨庄闸等水毁修复。</t>
  </si>
  <si>
    <t>开封市通许县铁底河（陈寨至木台庄段） 治理工程</t>
  </si>
  <si>
    <t>河道清淤约 5.79km、堤防修筑 4.664km、重建拦河闸1座，新 建排涝涵闸10座，重建跨河桥梁1座等。</t>
  </si>
  <si>
    <t>河南省开封市通许县小清河治理工程
（乔寨桥至开通县界）</t>
  </si>
  <si>
    <t>本次治理范围为桩号小清河开通县界（28+285）～乔寨桥（35+280），治理河段清表、两岸岸坡整修共6.995km，修筑右岸混凝土防汛路6.642km，重建跨河桥梁5座，重建沿河两岸灌排两用涵闸10座。</t>
  </si>
  <si>
    <t>河南省开封市祥符区铁底河治理工程</t>
  </si>
  <si>
    <t>本次治理范围15+690（开通县界）～0+000（惠济河口）。治理河段清淤15.69km（桩号15+690～0+000）。重建跨河桥梁12座，重建进水闸1座，新建进水闸2座。</t>
  </si>
  <si>
    <t>开封市祥符区惠济河生态治理项目</t>
  </si>
  <si>
    <t>堤防修筑、景观、绿化河道清淤、生态堤坝和驳岸工程和配套湿地建设等。</t>
  </si>
  <si>
    <t>惠济河（大广高速-开杞路段）治理工程项目</t>
  </si>
  <si>
    <t>建设包含河堤行道树 1540 株，路肩绿化 15386 ㎡，堤坝坡面绿化 115395 ㎡，滩地绿化 415422 ㎡，公共卫生间 6 个，驿站节点 2400 ㎡，灯具310 盏，给水 7693m。建设包括道路 38465 ㎡，路堤土方 161285m³，滩地提升393000m³，河道清淤 613080m³。建设内容包含道路提升 1600m，道路两侧绿化提升3200m，建筑民俗、小吃街改建 30 个，观光节点 10 个，林果采摘 150100㎡。</t>
  </si>
  <si>
    <t>兰考县黄蔡河提升工程</t>
  </si>
  <si>
    <t>河道清淤长36.85公里，清淤土方258万m³；堤防加固长10.3km，土方回填22.7万m³；拆除重建胡里闸、李家滩节制闸2座</t>
  </si>
  <si>
    <t>7.20洪水过后，该河道以防灾减灾（达标提升）工程申请上级资金，上级未纳入灾后重建规划项目，我县通过去冬今春五项重点工作进行河道疏浚工作，目前已完成河道疏浚工作，配套建筑物进行了维修，满足今汛安全。</t>
  </si>
  <si>
    <t>兰考县四明河提升工程</t>
  </si>
  <si>
    <t>河道清淤长33.02公里，清淤土方180.6万m³；堤防加固长9.0km，土方回填9.9万m³；新建（重建）生产桥7座，险工段边坡防护长3.5km</t>
  </si>
  <si>
    <t>240线陈留镇北至祥符区通许县界段结构性修复工程</t>
  </si>
  <si>
    <t>修复道路长12.732公里，铣刨老路面后，对基层病害进行处治，自下而上加铺18cm水稳碎石+透层+橡胶沥青混凝土等。</t>
  </si>
  <si>
    <t>在建</t>
  </si>
  <si>
    <t>尉氏县干线公路修复</t>
  </si>
  <si>
    <t>S102、S223、S102、G230冲毁绿化平台、路肩216处35230立方,倒伏路树3500余棵,路面、路基损毁近18563万平方米,贾鲁河大桥等桥涵水毁缺损4座石砌护坡冲毁1180立方,安全指示标志损毁 20个。</t>
  </si>
  <si>
    <t>完工</t>
  </si>
  <si>
    <t>祥符区干线公路修复</t>
  </si>
  <si>
    <t>G310冲毁绿化平台、路肩136处41500立方,损坏G240 线陇海立交桥等6座桥涵,护坡滑坡塌方29960立方 (土方),倒伏路树1320多棵,路面、路基损毁约18200平方米,3处标志。</t>
  </si>
  <si>
    <t>杞县干线公路修复</t>
  </si>
  <si>
    <t>S316冲毁绿化平台、路肩327处22183立方,损坏S220线涡河故道桥、S218芝麻洼场丘桥等3座桥函,石砌护坡滑坡塌方1563立方,倒伏路树1347棵,路面、路基损毁约12726平方米,柿园道班院墙倒塌214米。</t>
  </si>
  <si>
    <t>通许县干线公路修复</t>
  </si>
  <si>
    <t>G343、G240、S221、S222涉及冲毁绿化平台、路肩346 处47740立方米,损坏桥梁5座,桥面铺装损坏1750平 方,桥面伸缩缝5处,护坡滑坡塌方1379立方,倒伏路 树1246多棵,路面、路基损毁约16760平方米,道班院 墙倒塌(裴庄道班、张小楼道班、机械化养护队), 房顶损坏2处,安全指示标志损毁18个。</t>
  </si>
  <si>
    <t>城区干线公路修复</t>
  </si>
  <si>
    <t>G310、S314涉及冲毁绿化平台、路肩75处5410立方, 损毁刘寺桥等桥涵3座桥头石砌护坡冲毁80立方,路面 、路基水毁4200平方。</t>
  </si>
  <si>
    <t>通许县农村公路灾毁道路重建</t>
  </si>
  <si>
    <t>灾毁重建198公里</t>
  </si>
  <si>
    <t>通许县农村公路灾毁桥梁重建</t>
  </si>
  <si>
    <t>桥梁整体重建177延米</t>
  </si>
  <si>
    <t>2022年</t>
  </si>
  <si>
    <t>26-35</t>
  </si>
  <si>
    <t>开封市祥符区第一批预安排项目改建工程（10条路）</t>
  </si>
  <si>
    <t>10条村道分别为：半坡店乡牌坊王、老庄至南张庄、陈留镇刘伍楼至五里砦至范庄、陈留镇朱庄、仇楼镇高庄、杜良乡大门寨至武堂、罗王镇二郞庙、曲兴镇洪山庙（小丁）至开兰路、朱仙镇西木鱼寺、罗王镇闫店村。 共计16.063公里包含：路基工程、路面工程</t>
  </si>
  <si>
    <t>兰考县Y071张金线张寨至刘林段改建工程</t>
  </si>
  <si>
    <t>三级公路6.672公里</t>
  </si>
  <si>
    <t>兰考县X063南周线南漳至圈里改建工程</t>
  </si>
  <si>
    <t>三级公路3.69公里</t>
  </si>
  <si>
    <t>兰考县Y007前栗线前雷集至栗场段改建工程</t>
  </si>
  <si>
    <t>三级公路3.9公里</t>
  </si>
  <si>
    <t>兰考县Y006王固线G240至小付堂段改建工程</t>
  </si>
  <si>
    <t>三级公路2.3公里</t>
  </si>
  <si>
    <t>范场至岳候线</t>
  </si>
  <si>
    <t>三级公路3.095公里</t>
  </si>
  <si>
    <t>新区二水厂建设</t>
  </si>
  <si>
    <t>项目占地约163亩，先期建设供水能力为20万m3/d，净水处理工艺采用“常规处理+深度处理+污泥处理”工艺。</t>
  </si>
  <si>
    <t>主体工程已完工，正在进行二次结构和装修施工</t>
  </si>
  <si>
    <t>新区二水厂管网建设</t>
  </si>
  <si>
    <t>示范区水厂配套管网建设</t>
  </si>
  <si>
    <t>正在进行管网铺设</t>
  </si>
  <si>
    <t>老旧小区道路、排水管网、屋顶防水及地下室防护等基础设施改造</t>
  </si>
  <si>
    <t>涉及10538户居民，建筑面积117万平方米。</t>
  </si>
  <si>
    <t>已完工</t>
  </si>
  <si>
    <t>兰考县兰阳路人行道修复及管网提升整治工程</t>
  </si>
  <si>
    <t>雨污分流及人行道整治</t>
  </si>
  <si>
    <t>兰阳路北侧人行道及管网已完成，南侧住建局正在改造施工中</t>
  </si>
  <si>
    <t>焦裕禄纪念园周边改造提升</t>
  </si>
  <si>
    <t>陵园扩建及停车位建设</t>
  </si>
  <si>
    <t>陵园扩建工程5月前可完成，停车场正在施工中</t>
  </si>
  <si>
    <t>兰考县镇区污水处理站改造</t>
  </si>
  <si>
    <t>南彰镇、小宋镇、仪封镇、许河乡、葡萄架乡5个污水站点维修改造，维修、新建、清淤污水管网30公里</t>
  </si>
  <si>
    <t>兰考县产业集聚区宝龙路污水出路（污水处理厂-宝龙路）管道工程</t>
  </si>
  <si>
    <t>新建污水管网300多米，包括沉井和一体化提升泵站等内容，总投资约600万元。</t>
  </si>
  <si>
    <t>兰考县五干渠两岸护坡、护栏修复及东延清淤整治工程</t>
  </si>
  <si>
    <t>护栏、护坡、沿岸道路修复及东延新修清淤整治</t>
  </si>
  <si>
    <t>兰考县道路新建工程打包项目</t>
  </si>
  <si>
    <t>兰考县东明大道（光裕路-航海路）道路新建工道路全长9.3公里，雨水管网全长18公里，污水管网14公里；兰考县文体路（兰曹路-东环路）道路新建工程道路全长1.4里，雨水管网全长1.5公里，污水管网1.5公里；兰考县兰溪街（朝阳路-文体路）道路新建工程，道路全长1里，雨水管网全长1公里，污水管网1公里。</t>
  </si>
  <si>
    <t>正在施工</t>
  </si>
  <si>
    <t>兰考城区积水点改造项目</t>
  </si>
  <si>
    <t>新建泵站3座，新建排水设管网3公里以及道路人行道恢复，打通入河口3处，新建截水沟2处。</t>
  </si>
  <si>
    <t>阳泰街（迎宾大道-三义路）建设工程</t>
  </si>
  <si>
    <t>建设内容为：新建雨水管道、道路、照明、交通、绿化等内容</t>
  </si>
  <si>
    <t>尉氏县S102在建市政道路受灾修复工程</t>
  </si>
  <si>
    <t>对S102在建市政道路路槽积水进行抽排,损毁路基、路面修复、桥梁重建。</t>
  </si>
  <si>
    <t>尉氏县北二环应急应急排涝河渠建设工程</t>
  </si>
  <si>
    <t>建设刘麦河北二环处分流导洪渠刘麦河至康沟河段，长度2.4公里，宽15米，满足排涝分流建设需求</t>
  </si>
  <si>
    <t>尉氏县城区窨井盖及雨水口维修</t>
  </si>
  <si>
    <t>对丢失、冲毁、损坏的窨井盖及雨水口进行维修</t>
  </si>
  <si>
    <t>完成总工程量的55%</t>
  </si>
  <si>
    <t>尉氏县供水管网灾后恢复重建项目</t>
  </si>
  <si>
    <t>设备更换、管网修复重建</t>
  </si>
  <si>
    <t>尉氏县尉北科技食品园污水处理厂灾后恢复重建工程</t>
  </si>
  <si>
    <t>污水处理厂设备维护及更换</t>
  </si>
  <si>
    <t>通许县咸平大道东段道路升级改造工程</t>
  </si>
  <si>
    <t>修复路基长度1400米，路面8920平方米</t>
  </si>
  <si>
    <t>通许县纵五路道路新建工程</t>
  </si>
  <si>
    <t>建设道路长度1018米</t>
  </si>
  <si>
    <t>通许县新城区雨污错接混接整治项目</t>
  </si>
  <si>
    <t>县城城区规划以内，雨污水管网进行改造疏通。</t>
  </si>
  <si>
    <t>已完成98%</t>
  </si>
  <si>
    <t>通许县园区道路重建项目</t>
  </si>
  <si>
    <t>园区南路、祥云路、上海路中段路面重建，雨污管网修复</t>
  </si>
  <si>
    <t>已完成57.3%</t>
  </si>
  <si>
    <t>通许县城市基础设施灾后恢复重建项目</t>
  </si>
  <si>
    <t>环卫设施维修、照明设施维修、道路修复、雨污管网清淤、排水设施修复、垃圾场水毁设施修复等。</t>
  </si>
  <si>
    <t>通许县城市停车场建设项目</t>
  </si>
  <si>
    <t>本项目建设20个停车场，充电桩585个，生态绿化、商业用房及服务物管等配套设施、通许县智能生态停车场建设项目，主要建设地上停车场、配套服务用房、充电设施和地下停车场一层及相关的地下空
间人防工程。</t>
  </si>
  <si>
    <t>已完成37%</t>
  </si>
  <si>
    <t>通许县道路修复工程</t>
  </si>
  <si>
    <t>对通许县咸平大道、工业大道、商业路、裕丰路进行道路修复</t>
  </si>
  <si>
    <t>已完成39%</t>
  </si>
  <si>
    <t>通许县建设景观渠（望月河）修复</t>
  </si>
  <si>
    <t>建设景观渠（望月河）修复</t>
  </si>
  <si>
    <t>通许县生活垃圾裂解、焚烧供热项目</t>
  </si>
  <si>
    <t>本项目总用地面积 30 亩，设计处理垃圾规模 400 吨/日。主要建设内容为：厂区建筑安装工程、总图工程及设备购置。</t>
  </si>
  <si>
    <t>已开工</t>
  </si>
  <si>
    <t>通许县垃圾填埋厂渗滤液调节池</t>
  </si>
  <si>
    <t>新建设渗滤液调节池一座</t>
  </si>
  <si>
    <t>杞县海河、提排站、公租房小区等基础设施灾后恢复重建项目</t>
  </si>
  <si>
    <t>1、海河（包括护坡、护栏、污水管网、六座桥）；2、三座提排站（设备维修及更新）；3、三个公租房小区基础设施（房屋屋顶漏水，市政设施修缮）</t>
  </si>
  <si>
    <t>已完成海河护坡已修复200米，破除路面13600平方米，修复检查井154个；提排站6台水泵安装；公租房屋顶防水已完成1200平方米。</t>
  </si>
  <si>
    <t>杞县海河排水防涝工程</t>
  </si>
  <si>
    <t>海河河道清污及河道改造、污水管线、河道两侧照明、电力排管、河道两侧绿化、通信排管及海河两侧建筑物外立面改造。</t>
  </si>
  <si>
    <t>1、已完成河道清淤；铺设污水管网2200米
2、现已完成河底处理（抛石挤淤、河底硬化处理）约4660米；</t>
  </si>
  <si>
    <t>祥符区老城区灾后受损道路、排水、桥涵、河坡、泵站、闸门等配套基础设施项目</t>
  </si>
  <si>
    <t>1、修复河坡、河沿水淹冲毁3500米，河底冲入淤泥0.4米；2、修复桥涵4座，闸门3座，泵站1座，3、修复围挡喷淋倒塌800米，路床水淹1600平方米，电力管进水和泥沙，雨污水管进泥沙。4、修复排水管网3500米。5受损道路修复80000平方米。6、受损绿化修复。</t>
  </si>
  <si>
    <t>完成工程量90%</t>
  </si>
  <si>
    <t>祥符区城市河道治理工程</t>
  </si>
  <si>
    <t>1、祥符区李太沟长3000米，河道清淤疏浚、河坡修复、桥涵改造修复、污水截流、绿化。2、祥符区黄石沟长2000米，河道清淤疏浚、河坡修复、桥涵改造。3、祥符区泄水渠长4000米，河道清淤疏浚、河坡修复、桥涵改造</t>
  </si>
  <si>
    <t>完成工程量92%</t>
  </si>
  <si>
    <t>祥符区市政道路、雨污水改建、新建项目</t>
  </si>
  <si>
    <t>开封市祥符区新村路改造工程、纬三路道路排水工程（科教大道-经二路）、县府北街工程（北一环-县府大街）、园区路工程、中学路道路工程、纬七路治理工程、东环路（310-开杞路）道路排水工程、经四路道路排水工程等道路建设。</t>
  </si>
  <si>
    <t>开封市祥符区黄龙园区道路照明设施修复治理工程</t>
  </si>
  <si>
    <t>道路路灯、变压器、电缆</t>
  </si>
  <si>
    <t>祥符区冲塌、沉陷道路排水修复</t>
  </si>
  <si>
    <t>修复路面沉陷破损，慢车道、下水道</t>
  </si>
  <si>
    <t>开封祥符区弱电强电入地项目</t>
  </si>
  <si>
    <t>建设街交叉口、生产街、园区路等道路改造线路迁改。</t>
  </si>
  <si>
    <t>完成工程量91%</t>
  </si>
  <si>
    <t>开封市祥符区停车场项目</t>
  </si>
  <si>
    <t>停车车位及设施配建</t>
  </si>
  <si>
    <t>黄龙河生态治理项目</t>
  </si>
  <si>
    <t>黄龙湖公园建设，黄龙河河道及岸线周边建设。</t>
  </si>
  <si>
    <t>开封市祥符区城区集中供热管网建设项目</t>
  </si>
  <si>
    <t>新建高温热水管网50.55km、54座水-水换热站。</t>
  </si>
  <si>
    <t>开封市祥符区民用采暖工程</t>
  </si>
  <si>
    <t>开封市祥符区民用采暖程，总投资13064万元。开封市祥符区民用采暖程，总投资13064万元</t>
  </si>
  <si>
    <t>祥符区受损市政配套基础设施项目</t>
  </si>
  <si>
    <t>需要更换窨井盖1600套，采购单价950元，施工单价850元</t>
  </si>
  <si>
    <t>经二路（世纪大道-中学街东延段）修复及排水管网改造项目</t>
  </si>
  <si>
    <t>对经二路（世纪大道-中学街东延段）进行修复，对雨污排水管网进行改造</t>
  </si>
  <si>
    <t>祥符区市政道路修复项目</t>
  </si>
  <si>
    <t>人民路、上禾大道、科教大道路面修补投资200万、青年路雨污水管网修复改造投资1300万、经二路（中学街东延-独白路段）雨污水管网修复改造及绿化项目投资1831.628万元</t>
  </si>
  <si>
    <t>祥符区建筑垃圾消纳厂建设项目</t>
  </si>
  <si>
    <t>建设一座占地50亩，日处理建筑垃圾能力200吨的消纳厂</t>
  </si>
  <si>
    <t>祥符区受损公共设施项目</t>
  </si>
  <si>
    <t>新建公共厕所5座</t>
  </si>
  <si>
    <t>开封市马家河污水处理厂中水回用（二期）</t>
  </si>
  <si>
    <t>位于城乡一体化示范区内，管线范围包括一大街（宋城路-晋安路）、九大街（晋安路-东京大道）、晋安路（一大街-十二大街）、东京大道（一大街-十二大街）。中水管道采用管径为DN1000的球墨铸铁管道，管道附属设施包括阀门井、立式自动排气阀、蝶阀、架空段可滑移支座、标志带。本次设计中水管道主要用于碧水河、秀溪河、晋安河绿化用水及秀溪河湿地、马家河湿地补水。管道完善后，水泵长期运行，在最下游设置电磁阀控制。</t>
  </si>
  <si>
    <t>完成95%</t>
  </si>
  <si>
    <t>示范区基础设施维修项目</t>
  </si>
  <si>
    <t>修复陇海铁路至宋城路金明大道路面绿化及侧平石、集英街至一大街宋城路慢车道人行道、维修各办事处上报损毁背街、</t>
  </si>
  <si>
    <t>黑池水源地生态保护水毁修复工程</t>
  </si>
  <si>
    <t>水源地保护生态公益林、水源地清淤维护道路</t>
  </si>
  <si>
    <t>示范区城市支路完善工程</t>
  </si>
  <si>
    <t>该项目主要建设六大街西侧(宋城路至魏都路段)，金明池小学东侧规划路(复兴大道至职教路)及中央公园周边(七大街与魏都路交叉口南)道路完善工程。其中六大街西侧道路总长约800米，宽度约18米，主要包括人行道和慢车道的行道树、绿化带完善，雨污水、排管完善等工程:金明池小学大门东侧规划道路总长约450米，宽度约20米，双向单车道，主要包括机动车道路、慢车道、人行道的绿化和道路排管完善工程:中央公园周边道路总长约240米，宽度约30米的双向单道路，并在两侧布置运动健身步道、设置防护绿带等。</t>
  </si>
  <si>
    <t>金明大道北延项目</t>
  </si>
  <si>
    <t>位于开封城区以北水稻乡境内，项目南起稻四路，北至黄河大堤堤顶路，项目总长约3公里，红线宽度60米，建设内容包含：道路、排水、电气、交安、绿化、电力排管等</t>
  </si>
  <si>
    <t>2019年通许县竖岗镇张营村温室大棚项目</t>
  </si>
  <si>
    <t>1个棚门、两个钢管维修</t>
  </si>
  <si>
    <t>2019年通许县竖岗镇前刘庄村鸭棚项目</t>
  </si>
  <si>
    <t>鸭棚顶2个破洞、水池塌一个进行维修、鸭棚井塌陷进行修复</t>
  </si>
  <si>
    <t>2020年通许县竖岗镇张营村大棚建设项目</t>
  </si>
  <si>
    <t>8个棚门修复</t>
  </si>
  <si>
    <t>2018年通许县厉庄乡前柏岗设施农业大棚奖补项目</t>
  </si>
  <si>
    <t>5座大棚棚膜受损</t>
  </si>
  <si>
    <t>2018年练城乡厉大楼村产业园项目</t>
  </si>
  <si>
    <t>厉大楼村8座棚内积水墙体受损进行修复</t>
  </si>
  <si>
    <t>2020年通许县长智镇东芦氏村红薯育苗基地大棚项目</t>
  </si>
  <si>
    <t>1座大棚棚膜修复</t>
  </si>
  <si>
    <t>2018年长智镇三所楼村蔬菜大棚项目</t>
  </si>
  <si>
    <t>24座大棚薄膜轻微受损，修复</t>
  </si>
  <si>
    <t>2019年通许县竖岗镇百里池村禾丰肉鸭养殖项目</t>
  </si>
  <si>
    <t>机井塌陷、出水浑浊、鸭子无法饮用、线路损坏，进行修复</t>
  </si>
  <si>
    <t>2019年通许县长智镇东芦氏村设施农业大棚奖补项目</t>
  </si>
  <si>
    <t>21座大棚受淹，1座更换薄膜</t>
  </si>
  <si>
    <t>2019年通许县厉庄乡马庄设施农业大棚奖补项目</t>
  </si>
  <si>
    <t>大棚受损5座棚膜受损</t>
  </si>
  <si>
    <t>2018年通许县四所楼镇前罗村设施农业大棚奖补项目</t>
  </si>
  <si>
    <t>修复大棚25座</t>
  </si>
  <si>
    <t>兰考县乡镇敬老院灾后重建项目</t>
  </si>
  <si>
    <t>1.红庙敬老院：规划占地面积30亩，建筑面积300平方米，新建养老床位65张；2.葡萄架敬老院：规划占地面积32亩，新建综合服务楼3800平方米。设置床位85张；3.仪封镇敬老院：规划占地面积30亩，建筑面积300平方米，新建养老床位65张。</t>
  </si>
  <si>
    <t>主体工程已完成，因疫情原因，本周未开工</t>
  </si>
  <si>
    <t>兰考县城区中心敬老院建设</t>
  </si>
  <si>
    <t>规划建筑面积7720平方米，设计床位220张。</t>
  </si>
  <si>
    <t>通许县殡仪馆灾后修缮工程</t>
  </si>
  <si>
    <t>修复院墙、地基、修缮房屋漏水、门窗。</t>
  </si>
  <si>
    <t>祥符区救助管理站提升改造项目工程</t>
  </si>
  <si>
    <t>救助站重建，增设临时救助中心为受灾群众、临时陷入困境人员提供临时休息、救助等服务，购置救助车辆两台</t>
  </si>
  <si>
    <t xml:space="preserve">已完工 </t>
  </si>
  <si>
    <t>祥符区养老服务设施灾后恢复重建项目</t>
  </si>
  <si>
    <t>开封市祥符区综合养老服务中心项目；祥符区老年养护中心项目；敬老院提升改造项目；14个敬老院因水灾不同程度受损，需对14所敬老院进行房屋修缮、排水、线路、围墙、墙体粉刷等项目修建</t>
  </si>
  <si>
    <t>柳园口乡敬老院重建</t>
  </si>
  <si>
    <t>敬老院地面提升，拆除扩建18间房屋，排水、道路硬化等基础配套设施</t>
  </si>
  <si>
    <t>已完成事项基本情况：1.新建1号楼主体已完成；2.二标材料选购完毕；3.1#楼门窗安装完成90%；4.外墙涂料基本完成。</t>
  </si>
  <si>
    <t>2021年11月</t>
  </si>
  <si>
    <t>原址重建</t>
  </si>
  <si>
    <t>顺河回族区养老服务设施灾后建设改造提升工程</t>
  </si>
  <si>
    <t>内电厂工业街道综合养老服务中心项目</t>
  </si>
  <si>
    <t>主体面积6000平方已完工，外墙装修已完工、内部水电安装已完工</t>
  </si>
  <si>
    <t>顺河回族区应急救援中心暨养老院医养结合项目</t>
  </si>
  <si>
    <t>汴京路与东昌路交叉口建设疾控中心项目</t>
  </si>
  <si>
    <t>主体面积4000平方已完工</t>
  </si>
  <si>
    <t>开封市公益性公墓</t>
  </si>
  <si>
    <t>开封市公益性公墓位于陇海九路以南、二十一大街以西，占地200亩，总建筑面积3287平方米，共设置9个墓区，规划墓位总数47452个</t>
  </si>
  <si>
    <t>110-111</t>
  </si>
  <si>
    <t>开封市街道（社区）综合养老服务中心项目（一期）</t>
  </si>
  <si>
    <t>1.6个街道级养老机构消防加装、电梯、装修改造。
2.4个社区级养老机构消防加装、电梯、装修改造。</t>
  </si>
  <si>
    <t>未开工</t>
  </si>
  <si>
    <t>开封市传染病医院迁建项目</t>
  </si>
  <si>
    <t>总建筑面积4.1万平方米，主要建设内容为医疗综合楼、行政办公楼等建筑，设计开放床位500张。</t>
  </si>
  <si>
    <t>坡道外墙回填土完成，医技综合楼外墙粉刷正在进行，艾滋病房楼砌体施工正在进行，直燃机房及污水处理站开始砌筑，地下车库放线完成</t>
  </si>
  <si>
    <t>开封市中医院国家中医药传承创新工程项目</t>
  </si>
  <si>
    <t>总建筑面积为3.72万平方米，建设主要内容为医疗业务用房，中医药制剂楼医疗辅助用房，科研用房，临床教学用房。</t>
  </si>
  <si>
    <t>已经完成A区六层底板混凝土浇筑，C区六层底板钢筋绑扎，B区六层顶板模板安装；正进行基坑回填施工和地下室外墙防水施工</t>
  </si>
  <si>
    <t>开封市人民医院综合病房楼项目</t>
  </si>
  <si>
    <t>总建筑面积2.07万平方米，建设主要内容为住院病房及办公用房，设计病床250张，设计地下二层为机房及人防区域。</t>
  </si>
  <si>
    <t>病房、走廊、办公区墙面板、吊顶安装进行中。病房、办公区门加工定做中，弱电穿线已完成。</t>
  </si>
  <si>
    <t>115-116</t>
  </si>
  <si>
    <t>开封市第二中医院建设项目</t>
  </si>
  <si>
    <t>1、河南省区域中医骨伤科诊疗中心项目：位于开封市第二中医院院内，由市第二中医院负责实施，采购相关设备 23 台/套，装修与局部建筑改造面积 600㎡。
2、市第二中医院扩建项目建筑面积为2.12万平方米，主要建设内容为门诊病房综合楼，设置床位392张。</t>
  </si>
  <si>
    <t>6层主体施工完成，7层主体施工正在进行</t>
  </si>
  <si>
    <t>开封市妇幼保健院东院区建设项目</t>
  </si>
  <si>
    <t>总建筑面积为3.4万平方米，主要建设急诊医技和病房综合楼1栋，同时完善院区的其他配套设施等。</t>
  </si>
  <si>
    <t>基坑东侧垫层施工完成，防水层施工完成。</t>
  </si>
  <si>
    <t>开封市疾控中心迁建项目</t>
  </si>
  <si>
    <t>项目位于十一大街与金耀路交叉口东南角，规划建筑总面积约1.82万平方米，主要建设内容为实验楼、业务综合楼和地下配套工程。</t>
  </si>
  <si>
    <t>项目工程规划许可进行现场公示，取得市生态环境局环境影响报告书批复，项目造价竞争性磋商进行开标</t>
  </si>
  <si>
    <t>119-120</t>
  </si>
  <si>
    <t>开封市陇海医院建设项目</t>
  </si>
  <si>
    <t>1、市陇海医院医养结合养护楼项目：建筑面积约6500平方米，主要建设内容为地下车库及储物间，地上养护病房，设置床位200张。
2、对外科及康复科病房楼项目：进行装修改造升级和购买设备，装修面积4000平方米。</t>
  </si>
  <si>
    <t>水泥土搅拌桩已完成，正在进行清槽工作，抗浮锚杆和边坡支护喷浆施工正在进行</t>
  </si>
  <si>
    <t>开封市儿童医院门诊医技楼、病房楼配套附属设施项目</t>
  </si>
  <si>
    <t>建设内容包括门诊医技楼、病房楼配套附属设施等。</t>
  </si>
  <si>
    <t>人防停车场建设基本完工，室外路面完成硬化，污水处理项目竣工结算已上报财政局评审，电梯安装完工，精装修大包工程招标控制价初审结果财政局已出，目前正在进行核对。</t>
  </si>
  <si>
    <t>开封市中心医院眼病区域医疗中心建设项目</t>
  </si>
  <si>
    <t>项目建设内容包括设备采购、层流手术室和消毒供应中心设备设施建设及诊疗服务网络中心建设等。</t>
  </si>
  <si>
    <t>部分设备已完成招标采购，投入使用；消毒供应中心已完成建设，投入使用；层流手术室及网络信息化正在建设中。</t>
  </si>
  <si>
    <t>开封市人民医院皮肤病区域医疗中心建设项目</t>
  </si>
  <si>
    <t>建设内容包括皮肤影像与诊断设备、皮肤病治疗设备、病理科相关设备、皮肤重症医学设备的采购及安装等。</t>
  </si>
  <si>
    <t>荧光显微镜、呼吸机、彩色多普勒超声诊断仪已安装完毕，符合付款条件的正在办理付款手续。其余设备仍在运输过程中。</t>
  </si>
  <si>
    <t>2021年5月</t>
  </si>
  <si>
    <t>祥符区文旅保护提升工程</t>
  </si>
  <si>
    <t>文物保护</t>
  </si>
  <si>
    <t>祥符区文物保护工程，包括文物本体保护和修缮，以及“三防”工程建设，计划投资1000万。
朱仙镇保护提升、环境整治工程，包括街道环境提升、运粮河治理保护、周边环境整治等，计划投资5000万。</t>
  </si>
  <si>
    <t>朱仙镇岳飞庙（含关帝庙）维修方案已编制完成；朱仙镇清真寺安防工程已完成100%；朱仙镇大石桥维修工程正在实施，资金55万元；朱仙镇岳飞庙（含关帝庙）防雷二期工程、朱仙镇清真寺防雷二期工程正在走程序，资金分别为26万元、21万元。</t>
  </si>
  <si>
    <t>开封市图书馆灾后修复项目</t>
  </si>
  <si>
    <t>项目主要包含城市书房整修提升，包括线路整修、墙体粉刷，漏雨修复提升，设备的更换（高频安全门、高频自助借还机、自助办证机等）、书籍的更换更新，涉及寻宋书房、青霞书房、禹见书房、开元书房等城市书房。</t>
  </si>
  <si>
    <t>青霞书房完成了房屋的线路改造、墙体粉刷、书架书籍的更换，以及高频安全门、高频自助借还E型、自助办证E型、自助还书箱等设备的更新更换，更新图书4390册；禹见书房完成了房屋整修，自助借还设备的添置，并更新图书2629册；寻宋书房完成了房屋的线路整修、书架更换、图书更新；开元书房、宣和书房、朝曦书房等书房也均完成了房屋的维修提升、设备的更换、书籍更新。</t>
  </si>
  <si>
    <t>杞县郑民高速口环岛灾后重建项目</t>
  </si>
  <si>
    <t>郑民高速口环岛绿化工程进行补植和修复</t>
  </si>
  <si>
    <t>杞县造林灾后重建项目</t>
  </si>
  <si>
    <t>灾后重建造林、补植面积1500亩</t>
  </si>
  <si>
    <t>通许县树木受灾修复重建项目</t>
  </si>
  <si>
    <t>补植1600亩</t>
  </si>
  <si>
    <t>通许县城区绿地及林区基础设施修复重建</t>
  </si>
  <si>
    <t>院墙、屋顶路面修复重建</t>
  </si>
  <si>
    <t>祥符区国储林机井、绿化项目</t>
  </si>
  <si>
    <t>祥符区建投公司承建的十八弯、开港大道、大广高速、郑民高速、连霍高速机井476眼报废重建，边沟91520米冲毁修复，廊道绿化1000亩修复重建。</t>
  </si>
  <si>
    <t>祥符区中心苗圃场及林场基础设施损毁及苗木损毁</t>
  </si>
  <si>
    <t>林场及苗圃场倒塌围墙570平方的重建，冲毁道路路基1125平方的修复重建；受灾苗圃50亩自救后无絮杨80000棵损毁，及林场107杨苗8000棵的损毁</t>
  </si>
  <si>
    <t>祥符区区发投国投建投国储林、苗圃受损</t>
  </si>
  <si>
    <t>发投连霍高速国家储备林项目的国槐、女贞、栾树、开港大道、开杞路，五个高速下站口、五十公里廊道及晋开南国储林基地400亩受灾损毁的修复及道路路边沟等基础设施的损毁；国投公司生态廊道、沿黄草业带及林业支持村集体经济发展等项目共100亩受灾损毁的清理及修复</t>
  </si>
  <si>
    <t>开封〇二一八粮油储备有限公司灾后异地重建项目</t>
  </si>
  <si>
    <t>粮食储备</t>
  </si>
  <si>
    <t>1.规划土地65亩
2.标准散装粮房式仓5万吨，5万吨*600万元/万吨=3000万元
3.办公及职工宿舍2200平方米。
4.地坪
5.围墙，大门，门卫室</t>
  </si>
  <si>
    <t>开封0二一八粮油储备有限公司与开封金麦粮油有限公司于2021年7月31日签订资产转让合同，0218公司以4150万元购买金麦粮油全部资产。</t>
  </si>
  <si>
    <t>市粮食和储备局</t>
  </si>
  <si>
    <t>兰考县粮食和物资储备局粮食仓储物流设施项目</t>
  </si>
  <si>
    <t>建设投资1.52亿元人民币，本年度计划使用地方专项债4500万元，目前已招标2600万元：建设具有4.1万吨粮食仓库，2000㎡地坪，下水道300米，购置输送机、装粮机、卸粮机、振动筛、平仓机。1900万元未招标。</t>
  </si>
  <si>
    <t>已招标项目正在设计图纸</t>
  </si>
  <si>
    <t>尉氏县伟星塑料制品有限公司</t>
  </si>
  <si>
    <t>产业</t>
  </si>
  <si>
    <t>注塑机5台</t>
  </si>
  <si>
    <t>竣工</t>
  </si>
  <si>
    <t>市工业和信息化局</t>
  </si>
  <si>
    <t>尉氏县新开元服饰有限公司</t>
  </si>
  <si>
    <t>德国袜机迈兹CC-411 2台</t>
  </si>
  <si>
    <t>尉氏县鑫泰源纺织有限公司</t>
  </si>
  <si>
    <t>前纺设备28台，细纱设备58台，自动络筒机4套</t>
  </si>
  <si>
    <t>河南华地肥业科技有限公司</t>
  </si>
  <si>
    <t>投料平台：称重式配料系统LCS-1000:38万
机械手M410IC：26万</t>
  </si>
  <si>
    <t>开封市森簏服饰有限公司</t>
  </si>
  <si>
    <t>自动裁剪、烫台</t>
  </si>
  <si>
    <t>尉氏县飞达橡胶制品有限公司</t>
  </si>
  <si>
    <t>3台硫化炉</t>
  </si>
  <si>
    <t>河南省金丰达纺织有限公司</t>
  </si>
  <si>
    <t>高压计量器1台、高压线及安装费、变频器4件、触摸屏1件、编码器2件、紫光灯管6个、荧光灯管12个、LED灯管1个、梳棉机变频器1台、梳棉机PLC1台、自络机三合一电源板8块、电清连接板6块、电源板4块</t>
  </si>
  <si>
    <t>河南省金盛达实业有限公司</t>
  </si>
  <si>
    <t>石材红外桥式切割机设备，铝型材压型机2台</t>
  </si>
  <si>
    <t>河南省周艳水泥制品有限公司</t>
  </si>
  <si>
    <t>袋式除尘设备3台，滚焊机控制柜1台。</t>
  </si>
  <si>
    <t>开封市怡居康木业有限公司</t>
  </si>
  <si>
    <t>三公分门套自动成型机编号：0782494，精密推台锯编号：023105</t>
  </si>
  <si>
    <t>尉氏县大鑫木业有限公司</t>
  </si>
  <si>
    <t>热压设备1台
冷压机1台</t>
  </si>
  <si>
    <t>尉氏县久龙橡塑有限公司</t>
  </si>
  <si>
    <t>压胶电子磅2台；输送带电器2套；光氧环保镇流器、光氧灯管；光氧环保活性炭、滤棉；光氧环保电气控制；4千瓦电机2台；7.5千瓦电机1台</t>
  </si>
  <si>
    <t>河南昊昌精梳机械股份有限公司</t>
  </si>
  <si>
    <t>涡流纺设备4台、空压机1台、滤尘电机1台、熔喷布冷冻机组。</t>
  </si>
  <si>
    <t>河南省金久龙实业有限公司</t>
  </si>
  <si>
    <t>1、切割机 2、水井变频控制柜 3、运输带硫化机
4、压延循环泵变频控制柜5、硫化罐6、270密炼机高压变频单元</t>
  </si>
  <si>
    <t>尉氏纺织有限公司</t>
  </si>
  <si>
    <t>空压机控制器2台、自动络筒机电脑、主板等13台、电动机14台、变频器21台</t>
  </si>
  <si>
    <t>河南省康源香料厂有限公司第一分公司</t>
  </si>
  <si>
    <t>地下罐4个（容量300吨）；消防泵电机4台（型号：XBD5.0/40G-MHL）；生产区电机25台(型号：YBX3-90L-2)；监控64套（型号:CDS-XES00）；光纤接发器1对（型号：JJ-B5110S）；5口POE交换机1台（型号：FS05CP）；8口POE交换机（型号：FS08CP）；电脑主机11台(型号：扬天M4601d-01)。</t>
  </si>
  <si>
    <t>尉氏县富润电子科技有限公司</t>
  </si>
  <si>
    <t>USB2.0半自动机1套含1台自动插针机1台shell铁壳组装机；                自动包装机1台</t>
  </si>
  <si>
    <t>尉氏县力尔橡胶有限公司</t>
  </si>
  <si>
    <t>40千瓦电机2台；50千瓦电机2台；5.5千瓦电机23千瓦电机1台；设备PLC 6台</t>
  </si>
  <si>
    <t>河南国网电缆集团有限公司</t>
  </si>
  <si>
    <t>成缆1600型机一台；铜带屏蔽机；串联云母带绕包机组；行车10吨一台；成缆1250型机一台；挤塑机90型一台；弓绞1250型机一台；智能化拉丝机一台。</t>
  </si>
  <si>
    <t>上海宏图尚威环保科技股份有限公司开封分公司</t>
  </si>
  <si>
    <t>1400卷筒复合线SFJ-1400,1条；烘干机VYS-30HM,1台；开槽机ZDJ1000,2台；1.1米半自动裱纸机YB-1300B,1台</t>
  </si>
  <si>
    <t>尉氏县顺昌纺织有限公司</t>
  </si>
  <si>
    <t>卧式打包机1台；立式打包机1台；FA002抓棉机2台；105型清花设备（A035混开棉机                      FA106豪猪开棉机）1套；ZM-FFCM-SI分栋机1台；郑纺机FA224梳棉机10台；清钢联棉箱10台；FA320并条机4台；TMF81L自调匀整并条机1台；环球FA494粗纱机1台；金汇丰粗纱机2台；Best516细纱机15台；马佐里129细纱机15台；工业空调1台；SMARO自络机4台；理管机4台；空压机2台；磨皮辊机1台；试验仪器1套；加湿器1台；变压器2台；蒸纱机1台；A035凝棉器1台；200吨电子磅1台；智能处理机1台；摆管机1台；除尘机1台。</t>
  </si>
  <si>
    <t>河南金田地农化有限责任公司</t>
  </si>
  <si>
    <t>颗粒剂车间1套自动投料系统；3台自动贴标机 TN150；4条灌装线 CCG1000-12D；DXD-180D；2台二维码设备 弥特定制</t>
  </si>
  <si>
    <t>尉氏县鹏翔木业有限公司</t>
  </si>
  <si>
    <t>变频器2台；
水分仪2台；
电机5台；
PLC CPU3台；
伺服驱动器3台；
触摸屏1台；
工控机4台；
生产线运行系统瘫痪；
电机软启动器5台；
主电缆线180米</t>
  </si>
  <si>
    <t>开封凯乐实业有限公司</t>
  </si>
  <si>
    <t>电泳整条线、塑胶电镀线、化验室设备和电箱、变频器、继电器等因泡水受损或损坏</t>
  </si>
  <si>
    <t>河南远见农业科技有限公司</t>
  </si>
  <si>
    <t>卧式砂磨机2台，型号：WM50-1；柴油发电机组一套：东方红100GF；电脑3套；LED显示屏一套；产品追溯中控机一套；厂房。</t>
  </si>
  <si>
    <t>尉氏县华牧生物科技有限公司</t>
  </si>
  <si>
    <t>3台膨化机EXP160G-110KW；2台锤式粉碎机SFSP66×80；1台地磅</t>
  </si>
  <si>
    <t>开封市腾发木业有限公司</t>
  </si>
  <si>
    <t>剥板机 找圆机上料机俩台</t>
  </si>
  <si>
    <t>尉氏县智诚彩印包装有限公司</t>
  </si>
  <si>
    <t>hT-850型全自动印刷机1台，Tl-1050无溶剂复合机2台，DH-850干式复合机1台，600全自动制袋机5台，分切机1台，化验室设备透湿透氧仪器，气象色谱仪，拉力机，摩擦系数仪，高温蒸煮锅，水份测试仪各1台</t>
  </si>
  <si>
    <t>开封精辉建筑材料有限公司</t>
  </si>
  <si>
    <t>电机维修95台
电机更换30台
电柜更换5台
液压油更换12桶
更换电线
数控柜5个
震动箱3台
光电70个砖机设备1套
管机设备1套</t>
  </si>
  <si>
    <t>尉氏县青山木材加工厂</t>
  </si>
  <si>
    <t>接皮机受损，旋切机报废，三个上料机受损，找圆机受损，断木机受损。</t>
  </si>
  <si>
    <t>开封市开泰大地饲料有限公司</t>
  </si>
  <si>
    <t>5个提升机；玉米刮板；粉碎机刮板；空压机；预混料提升机；生物发酵罐2个；打包机</t>
  </si>
  <si>
    <t>河南水到渠成建材有限公司</t>
  </si>
  <si>
    <t>电机维修78台
电机更换30台
电柜更换3台
震动箱3台
光电60个</t>
  </si>
  <si>
    <t>开封市泰宇商砼有限公司</t>
  </si>
  <si>
    <t>W-1.5/8(TA-120)空压机2台，JNY-50A空气压缩机1台，JS3000型中联180生产线，MAO4500/3000SDY00型仕高玛180生产线，YZF40型砂石分离机，雾森喷淋设备</t>
  </si>
  <si>
    <t>开封市丰源新型建筑材料有限公司</t>
  </si>
  <si>
    <t>电柜：7个、电机：26台、天然气站：1座、燃烧机：2台、引风机：2台、空压机：2台、燃烧炉：1台、烘干机：1台、输送机：3套、震动筛：1台、脉冲除尘设备：1台</t>
  </si>
  <si>
    <t>尉氏县水坡镇吸管厂</t>
  </si>
  <si>
    <t>JY038型吸管挤出机两条生产线，JY030型全自动吸管多支包装机3台，JY033型全自动单支连排包装机2台</t>
  </si>
  <si>
    <t>河南森林金源科技发展有限公司</t>
  </si>
  <si>
    <t>50kw发电机组1套
消防机组 1套
激光切割机1台
电焊机8台
高精度开板机4台
覆膜机 1台
40吨折弯机 1台
20吨折弯机 1台
螺杆机气泵4台
18Kw脉冲除尘器2台
液压校平机1台
冲床1台
攻丝机1台</t>
  </si>
  <si>
    <t>开封市欧仕达金属有限公司</t>
  </si>
  <si>
    <t>地磅、叉车、截锭机、光谱设备、生产线进水无法使用</t>
  </si>
  <si>
    <t>开封市弘发轨道交通装备有限公司</t>
  </si>
  <si>
    <t>中频炉、电阻炉、射芯机、造型机、混砂机、电焊机、压力机、气刨机、车床、铣床、钻床、刨床、锯床、起重机、抛丸机、变压器、光谱仪、拉力机、硬度机、冲击机、探伤机、低温槽、各种生产模具等设备510台进水报废无法使用</t>
  </si>
  <si>
    <t>郑州钜丰家具有限公司</t>
  </si>
  <si>
    <t>jack杰克K5-D电脑工业平缝机8台，jack杰克C4高速电脑绷缝机4台，jack杰克E3包缝机2台，jack杰克C5电脑工业拷边机2台，5T电脑升降机一台，冷轧机一台，电机3台</t>
  </si>
  <si>
    <t>开封市新科锌业有限公司</t>
  </si>
  <si>
    <t>粉碎机37KW自耦减压起动柜2台、37KW粉碎机电机、雷蒙磨132KW电机、雷蒙磨配套90KW电机、输送3KW电机、窑头二次风11kw电机、窑头收尘7.5KW电机、鄂破机7.5KW电机、20门脉冲控制仪、徐工500KV装载机4台、柳工35叉车3台、引风机132KW电机、引风机132KW变频器、引风机132KW变频器、ZX7-400电焊机3台、45KW自耦减压起动柜、粉碎机配套45KW电机、75KW自耦减压起动柜、110KW罗茨风机、110KW罗茨风机电机、30KW罗茨风机、30KW罗茨风机电机、30KW变频器、11KW变频器、4KW台磨、15KW离心泵电机6台、7.5KW离心泵电机4台、37KW空压机、高压喷雾机8台、40KW调速电机、7.5KW刮板机电机12台、40*60刮板机144米、200KW引风机变频器、200KW引风机含电机、100门脉冲控制仪2台、20门脉冲控制仪3台、7.5KW提升机电机、4KW绞龙电机6台、输送3KW电机、2.5回转窑托轮、400kva发电机组、250KW罗茨风机、250KW罗茨风机电机、250KW引风机、250KW引风机电机、250KW变频器2台、90KW罗茨风机、90KW罗茨风机电机、90KW变频器、7.5KW窑头鼓风机、7.5KW变频器、TDY75型油冷式电动滚筒、7.5KW提升机电机4台、37KW空压机2台、630kva发电机组、30KW循环水泵电机2台、7.5KW循环水泵电机2台、22KW给浆水泵电机、11KW给浆水泵电机3台、37KW罗茨风机、37KW罗茨风机电机、90KW变频器、90KW窑头收尘电机、PLC脱硫控制系统、CKG湿电除尘程控系统、工控机3台、在线UPS电源、在线制冷器、在线蠕动泵、在线紫外烟气分析仪、在线湿度仪、用电监控设施10套、门禁系统</t>
  </si>
  <si>
    <t>尉氏县运通金属材料有限公司</t>
  </si>
  <si>
    <t>50型铲车3台维修15万
630KW变压器1台换新6万
250KW变频器1台换新3.6万
180KW变频器1台换新1.8万
132KW变频器1台换新1.5万
90KW变频器1台换新1.2万
250KW电机2台换新24万
155KW电机1台换新8万
55KW电机3台换新12万
15KW电机15台换新15万
罗茨风机250型1台维修18万
罗茨风机155型1台维修12万
7.5KW电机15台换新9万
化验室设备一套换新20万
发电机1100KW维修12.5万
扫地车1辆维修8万
38型叉车1辆维修1万
布袋1000条换新21万
窑砖80吨换新40万
拖轮4个维修16万
浇注料30吨换新18万</t>
  </si>
  <si>
    <t>河南邦辰服饰有限公司</t>
  </si>
  <si>
    <t>服装罗纹编织横机机：5台（金鹏-602）。富山平缝机：5台，型号：H9300-7D。中缝重工全自动模板机：1台，型号：GC913C-JC。富山多针机：1台，型号：HW800TA。富山锁眼机：1台，型号：HBH-1790B.烫台3台，蒸汽发生器1台12千瓦。粘合机1台，型号：NH500.大洋裁刀2台，型号DY-1603.小裁刀5台。自动松布机1台，型号：BC-2000.绘图仪一台，型号：迈瑞-205C.断布机2台，型号：大洋-2400C。裁台4台，2000*14400，2000*9600，2000*4800*2.合式粘衬机1台，型号NH500</t>
  </si>
  <si>
    <t>尉氏县和程包装材料有限公司</t>
  </si>
  <si>
    <t>免版模切机一台，收纸机一台，半自动压盒机一台，全自动粘箱机一台，空压机两台，全自动打包机一台</t>
  </si>
  <si>
    <t>河南省畅通橡胶制品有限公司</t>
  </si>
  <si>
    <t>变频器8台，空压机3台，冷干机2台，55千瓦电机6台，5.5瓦电机11台，3千瓦电机7台，5.5千瓦水泵，内胎磨具65套，磨光机8台，内胎硫化机29台，打包机3台，电焊机1台 切割机1台工业电风扇22台</t>
  </si>
  <si>
    <t>河南优德医疗设备有限公司</t>
  </si>
  <si>
    <t>氩弧焊/二保焊机8台</t>
  </si>
  <si>
    <t>河南省福久久门业有限公司</t>
  </si>
  <si>
    <t>光纤激光切割设备1台，门框滚花机1台，液压冲床2台，螺杆空压机1台，空气干燥机1台，液压翻边机一台，二保焊机6台，</t>
  </si>
  <si>
    <t>开封市汇洁纺织有限公司</t>
  </si>
  <si>
    <t>压缩机1台，空压机2台，储气罐6个，冷冻式干燥机1台，小型定型机4台，离心风机5台，蒸汽定型机1台，定型架子8套，定型板5000个，袜子直缝机4台，织袜机120台，变压器1台</t>
  </si>
  <si>
    <t>河南飞皇绝热材料有限公司</t>
  </si>
  <si>
    <t>涂料自动灌装自动生产线一条（三华科技有限公司制造）；干粉砂浆自动包装机和高位码垛一体线一条（苏州国衡机电有限公司，型号PVPE-100)；干粉砂浆自动包装机和高位码垛一体线一条（苏州国衡机电有限公司，型号PVPE-S)</t>
  </si>
  <si>
    <t>河南加赢新能源科技有限公司</t>
  </si>
  <si>
    <t>搅拌输送机1套，制粒机3套(压轮压盘损毁)，电焊机3台、备用配件（轴承3套、压轮3套、模具150个）</t>
  </si>
  <si>
    <t>尉氏县超群食品有限公司</t>
  </si>
  <si>
    <t>4台Z型提升机</t>
  </si>
  <si>
    <t>河南开心仁食品有限公司</t>
  </si>
  <si>
    <t>瓜子原料提升机电机2台Y-71m2-4炒瓜子提升机电机1台YE2-90L-2</t>
  </si>
  <si>
    <t>河南省文文食品有限公司</t>
  </si>
  <si>
    <t>烘烤烤箱一台</t>
  </si>
  <si>
    <t>开封市杏媛食品有限公司</t>
  </si>
  <si>
    <t>空压机.净化机.成型机</t>
  </si>
  <si>
    <t>河南省康记食品有限公司</t>
  </si>
  <si>
    <t>巧克力涂层机1台、冷却设备1台、滚筒电机变频器1套</t>
  </si>
  <si>
    <t>河南笑辣辣食品有限公司</t>
  </si>
  <si>
    <t>55kw空压机变频器1台</t>
  </si>
  <si>
    <t>尉氏县天翼食品有限公司</t>
  </si>
  <si>
    <t>TNS-60KVA 稳压器一台;TYCP 160M1-8 B35电机一台；PSM160-37-3000 电机一台；5台150型封口机。</t>
  </si>
  <si>
    <t>河南省军胜强食品有限公司</t>
  </si>
  <si>
    <t>4台燃烧机、1台分选机、1台空压机、1台提升机、4台煮锅</t>
  </si>
  <si>
    <t>河南省豪一食品有限公司</t>
  </si>
  <si>
    <t>XY-25,搅拌机1台；400KV，配电柜1套；HD-800,过滤机1台；HS-850油炸机1台；JLMK胶体磨1台；JY-JD,净化器1台；5.5KW,风机1台；RF28WW/S-810L,空调3台；</t>
  </si>
  <si>
    <t>河南省带财食品有限公司</t>
  </si>
  <si>
    <t>6台燃烧机</t>
  </si>
  <si>
    <t>河南省万强食品有限公司</t>
  </si>
  <si>
    <t>1台包装机</t>
  </si>
  <si>
    <t>河南省华昌食品有限公司</t>
  </si>
  <si>
    <t>4台Z型提升机、3台燃烧机</t>
  </si>
  <si>
    <t>河南省幸隆食品有限公司</t>
  </si>
  <si>
    <t>一台空压机变频器，三台电机</t>
  </si>
  <si>
    <t>河南省神通食品有限公司</t>
  </si>
  <si>
    <t>4台煮锅、6台燃烧机、2台提升机、2台筛选机</t>
  </si>
  <si>
    <t>河南省海丰食品有限公司</t>
  </si>
  <si>
    <t>3台自动包装机、2台分级筛选机、7台燃烧机</t>
  </si>
  <si>
    <t>河南蔚源生物科技有限公司</t>
  </si>
  <si>
    <t>CO2气体保护焊机 大焊机  防爆摆线针轮减速机3台 电机一台 离心机 等离子切割机 手动切割机 LPG气化器   罗茨真空泵 防爆电机 双  杆空压机 制氮机 自吸泵 离心泵 化工自吸泵一台 离心泵一台  不锈钢自吸泵2台 化工自吸泵一台</t>
  </si>
  <si>
    <t>河南省顺鑫食品有限公司</t>
  </si>
  <si>
    <t>1台100KV变压器3只变压保险丝，避雷器，1台变压器总配箱设施</t>
  </si>
  <si>
    <t>河南省好姐弟食品有限公司</t>
  </si>
  <si>
    <t>给袋式包装机1台；油炸生产线1套；环保监控器1套</t>
  </si>
  <si>
    <t>河南省丰利园食品有限公司</t>
  </si>
  <si>
    <t>烤箱一台；冷库外机两个成型机一台</t>
  </si>
  <si>
    <t>河南甲润木业有限公司</t>
  </si>
  <si>
    <t>粉尘房 除尘设备（mc-Ⅱ）更换维修</t>
  </si>
  <si>
    <t>开封力嘉食品科技有限公司</t>
  </si>
  <si>
    <t>不锈钢转子泵1
不锈钢转子泵2
打包机
打包机（停用状态）
采集器
砝码
循环型工业热风机
工业除湿机
工业除湿机
工业除湿机
冷冻库
半自动打包机
肩背式吸尘器
缠绕包装机
缠绕包装机
2、5号冷藏库
冷库机组
1/4号冷藏库
1/4号冷藏库
自动灌装设备</t>
  </si>
  <si>
    <t>河南省中原皓月清真食品工业有限公司</t>
  </si>
  <si>
    <t>控制柜 自吸无堵塞排污泵控制柜 2 组
自吸无堵塞排污泵 ZW80-65-20-7.5 4 组
空压机（150升）  1 台
备用电机  4 台
循环泵  4 台
压泥机组 DWT1500-A 2 组
在线监测房屋  1 间
变压器 1600KVA 3 台
箱式变压器 1600KVA 1 台
高压开关柜 KZW-M 12 组
低压开关柜 50HZ/380V  组
整流电瓶柜 PZG-ZK 2 组
高低压联络柜 GZS1-14/KYN28-12 2 箱
值班空调 格力 5P 3 台
避雷柜 GZS1-23 2 组
进线柜 GZS1-22 2 组
计量柜 GZS1-21 2 组
出线柜 GZS1-12 4 组
隔离柜 GZS1-15 1 组
蓄电池屏 PZG-D 1 组
电容补偿柜 21AA/22AA 7 组
控制电源柜 30KW/50A 2 台
锅炉控制柜 150VA 2 台
天然气锅炉 WNSZ-1.0-YQ  WNSZ-1.25-YQ 2 组
解析除氧器 CJY-20 1 套
分汽缸 0516×8×3516 1 台
锅炉给水泵 ZQS-15/17 4 台
电焊机 350 1 台
切割机 400 1 台
压缩机控制柜 EACSB-F220HY 13 台
系统供应控制柜（通讯） 松下 4 台
事故风机控制柜 0413-OFX 1 台
气体报警器 氨气 1 台
压缩机油泵 YF-150 13 台
氨泵 40P10X4-RW-122.5 20 台
油泵 16# 2 台
油泵电机 16# 1 台
压缩机精粗滤芯  6 套
空气油分滤芯  1 套
加油泵  1 个
正压式呼吸机  2 台
真空泵  2 台
制冷泵房配电柜 冲霜水泵 1 台
乙二醇配电柜 SUP-1.1B 1 台
电机 SUP-1.1B 2 台
供水泵  5 台
消防泵  4 台
液位泵  2 台
二氧化氯发生器 ZSH-02000DC32 1 组
控制电柜 Q-SUVU26-2006 3 组
水泵电柜 Q-SUVU26-2006 3 组</t>
  </si>
  <si>
    <t>尉氏县东辰生物科技有限公司</t>
  </si>
  <si>
    <t>4头灌装机、单头灌装机、水冷封口机、传送带电机、自吸泵、搅拌机、贴标机、打包机、工业扇</t>
  </si>
  <si>
    <t>商超、电商企业加油站灾后修复项目</t>
  </si>
  <si>
    <t>商超</t>
  </si>
  <si>
    <t>对鲜风超市、容培商行、百泰副食、开封亚符电子商务有限公司</t>
  </si>
  <si>
    <t>开封市集中式饮用水水源地规范化建设修复项目</t>
  </si>
  <si>
    <t>生态环境</t>
  </si>
  <si>
    <t>开封市集中式饮用水水源地规范化建设项目前端设备建设在开封市黑池、柳池岸边，由于7月20日特大洪水引起坍塌，造成岸边十五路视频监控设备损坏，（包含摄像机、网桥、太阳能设备、防雷器、维修人工费等）共损失 26.28万元。</t>
  </si>
  <si>
    <t>项目运维公司已自行修复。</t>
  </si>
  <si>
    <t>市生态环境局</t>
  </si>
  <si>
    <t>开封市黑岗口引黄灌区续建配态与节水改造项目</t>
  </si>
  <si>
    <t>其他</t>
  </si>
  <si>
    <t>渠道衬砌4条15.319km，沟渠清淤疏浚4条16.467km，配套建筑物81座，配套量测水设施22套。</t>
  </si>
  <si>
    <t>2022年兰考县中型灌区续建配套与节水改造项目</t>
  </si>
  <si>
    <t>北滩灌区2022年度工程涉及渠道衬砌3条共20.16千米，量测水设施6处，建设管理道路18公里。</t>
  </si>
  <si>
    <t>祥符区铁底河(北支段)治理工</t>
  </si>
  <si>
    <t>河道清淤13.2公里，拆除重建建筑物17座</t>
  </si>
  <si>
    <t>杞县小蒋河(曹家至林庄段)治理工程</t>
  </si>
  <si>
    <t>河道清淤9.883公里，拆除重建桥梁16座</t>
  </si>
  <si>
    <t>通许县小清河治理工程(乔寨桥至开通县界)</t>
  </si>
  <si>
    <t>通许县铁底河(陈嘉至木台庄段)治理工程</t>
  </si>
  <si>
    <t>尉氏县水土保持</t>
  </si>
  <si>
    <t>农田防护林1000hm²,生产道路2278m. 治理水土流失面积10平方公里。</t>
  </si>
  <si>
    <t>方案在编</t>
  </si>
  <si>
    <t>祥符区水资源节约管理与保护</t>
  </si>
  <si>
    <t>规模以上取水在线计量设施新建或改建</t>
  </si>
  <si>
    <t>杞县水资源节约管理与保护</t>
  </si>
  <si>
    <t>通许县水资源节约管理与保护</t>
  </si>
  <si>
    <t>尉氏县水资源节约管理与保护</t>
  </si>
  <si>
    <t>已完成20%</t>
  </si>
  <si>
    <t>兰考县水资源节约管理与保护</t>
  </si>
  <si>
    <t>北滩灌区渠首安装监测计量设备</t>
  </si>
  <si>
    <t>开封市农村饮水工程维修养护</t>
  </si>
  <si>
    <t>管网改造共计3505m，过桥钢管54m，更换阀门223个,更换水表92块，水源井井台维修工程7处，滤砂罐基础重砌1处，更换SPF37kw变频器1台，更换次氯酸钠发生器100型7套等</t>
  </si>
  <si>
    <t>祥符区农村饮水工程维修养护</t>
  </si>
  <si>
    <t>洗井 4 眼，钢管滤水管维修 4 处，更换 HDPEφ75×1.25Mpa管道 840m，更换 HDPEφ160×1.0Mpa 管道 150m等</t>
  </si>
  <si>
    <t>杞县农村饮水工程维修养护</t>
  </si>
  <si>
    <t>管网改造共计 61959米，更换阀门73 个，滤砂罐（5t）3套，更换 DN100 旋翼式滴水计数水表6 块等</t>
  </si>
  <si>
    <t>通许县农村饮水工程维修养护</t>
  </si>
  <si>
    <t>管网改造共计 8154m，更换阀门 15个，更换次氯酸钠发生器（100 型）2 套，更换 5t 滤砂罐（含钢管阀门等辅件）2 套，更换 50t 压力罐（含钢管阀门压力表等辅件）7 套，更换潜水泵（含 160m 防水潜水电缆JHS(YC)3*25）6 套等</t>
  </si>
  <si>
    <t>尉氏县农村饮水工程维修养护</t>
  </si>
  <si>
    <t>共敷设各类管网 112058m（不含入户管）；供水厂（站）中51套储水罐防腐处理（除锈、刷防锈漆、刷银粉浆）等</t>
  </si>
  <si>
    <t>兰考县农村饮水工程维修养护</t>
  </si>
  <si>
    <t>管网改造5处，共计 64791m，更换消毒柜7套，洗井4眼，更换阀门井3处，更换50t 卧式压力罐2套,打井1眼。</t>
  </si>
  <si>
    <t>尉氏县小型水库工程设施维修养护</t>
  </si>
  <si>
    <t>更换启闭机、丝杠、室内线路、维修闸门</t>
  </si>
  <si>
    <t>新增开封市街道（社区）综合养老服务中心项目</t>
  </si>
  <si>
    <t>兰考县薛楼城中村改造项目（嘉和苑一期）配套基础设施建设项目</t>
  </si>
  <si>
    <t>棚户区改造相关配套基础设施建设</t>
  </si>
  <si>
    <t>正在进行招投标手续，手续完成后开工</t>
  </si>
  <si>
    <t>开封童翎教育科技有限公司开封市示范区童翎托育中心项目</t>
  </si>
  <si>
    <t>托育教室、游戏活动区、家长休息区、绘本阅读区等，集接待室、卫生保健室、多功能室、感统训练室为一体的婴幼儿活动与家长育儿学习的公共场所</t>
  </si>
  <si>
    <t>1.基础墙面、地面已经进行完毕，待后续维护和整修。
2.消防工程和空调已经安装完毕，待验收调试。
3.厨房装修和设备采购待进一步完善。</t>
  </si>
  <si>
    <t>焦裕禄烈士墓保护利用设施</t>
  </si>
  <si>
    <t>北宋东京城顺天门（新郑门）遗址展示馆建设项目</t>
  </si>
  <si>
    <t>兰考县兰阳街道第一小学教学用房、餐厅项目</t>
  </si>
  <si>
    <t>教学楼</t>
  </si>
  <si>
    <t>兰考县兰阳第三中学建设项目</t>
  </si>
  <si>
    <t>教学楼、运动场</t>
  </si>
  <si>
    <t>鼓楼区西司门办事处观前街片区老旧小区改造项目</t>
  </si>
  <si>
    <t>项目改造内容主要是对道路、大门及围墙、照明系统、消防、
安防工程、管线入地工程及标识系统等进行改造。</t>
  </si>
  <si>
    <t>鼓楼区</t>
  </si>
  <si>
    <t>示范区老旧小区改造汉中片区红线内配套基础设施建设项目</t>
  </si>
  <si>
    <t>道路、排水、绿化、监控、照明、供水、消防设施等</t>
  </si>
  <si>
    <t>1、招投标工作已完成；2、设计方案已完成；3、施工单位技术人员正在现场摸排，5月底前全部开工。</t>
  </si>
  <si>
    <t>禹王台区城市排水防涝数字化综合信息管理平台项目</t>
  </si>
  <si>
    <t>提升改造指挥中心，提升改造海绵城市，提升排涝除险设备。</t>
  </si>
  <si>
    <t>正在办理招投标前期手续</t>
  </si>
  <si>
    <t>兰考县高标准农田</t>
  </si>
  <si>
    <t>尉氏县闹张线路面大修工程（新增）</t>
  </si>
  <si>
    <t>施工总里程10.0公里，路面宽9.0米，二级公路，沥青混凝土路面。</t>
  </si>
  <si>
    <t>2022年灾后重建项目开工与完成实物投资统计表（分县区）</t>
  </si>
  <si>
    <t>填报单位：</t>
  </si>
  <si>
    <t>联系人：</t>
  </si>
  <si>
    <t>联系方式：</t>
  </si>
  <si>
    <t>填报日期：</t>
  </si>
  <si>
    <t>县区</t>
  </si>
  <si>
    <t>全口径项目</t>
  </si>
  <si>
    <t>其中：规划内项目</t>
  </si>
  <si>
    <t>其中：规划外项目</t>
  </si>
  <si>
    <t>规划内项目</t>
  </si>
  <si>
    <t>规划外项目</t>
  </si>
  <si>
    <t>2022年计划情况</t>
  </si>
  <si>
    <t>2022年完成情况</t>
  </si>
  <si>
    <t>4.28数据</t>
  </si>
  <si>
    <t>5.12数据</t>
  </si>
  <si>
    <t>减少数量</t>
  </si>
  <si>
    <t>计划开工项目（个数）</t>
  </si>
  <si>
    <t>计划年底前完成投资额（万元）</t>
  </si>
  <si>
    <t>本年已开工项目（个数）</t>
  </si>
  <si>
    <t>本年已竣工项目（个数）</t>
  </si>
  <si>
    <t>本年已完成投资额（万元）</t>
  </si>
  <si>
    <t>比例</t>
  </si>
  <si>
    <t>项目总数（个）</t>
  </si>
  <si>
    <t>总投资额（万元）</t>
  </si>
  <si>
    <t>项目总数</t>
  </si>
  <si>
    <t>总投资额</t>
  </si>
  <si>
    <t>合计</t>
  </si>
  <si>
    <t>2022年灾后重建项目开工与完成实物投资统计表（分行业）</t>
  </si>
  <si>
    <t>项目所属行业</t>
  </si>
  <si>
    <t>进度比例</t>
  </si>
  <si>
    <t>居民住房</t>
  </si>
  <si>
    <t>应急能力</t>
  </si>
  <si>
    <t>注：</t>
  </si>
  <si>
    <t>灾后重建项目累计完成总投资统计表（分县区）</t>
  </si>
  <si>
    <t>总体情况</t>
  </si>
  <si>
    <t>完成情况</t>
  </si>
  <si>
    <t>纳入省规划情况</t>
  </si>
  <si>
    <t>未纳入规划情况</t>
  </si>
  <si>
    <t>已开工项目（个数）</t>
  </si>
  <si>
    <t>已竣工项目（个数）</t>
  </si>
  <si>
    <t>已完成投资额（万元）</t>
  </si>
  <si>
    <t>灾后重建项目累计完成总投资统计表（分行业）</t>
  </si>
  <si>
    <t>其他领域全口径项目统计</t>
  </si>
  <si>
    <t>其他领域规划内项目统计</t>
  </si>
  <si>
    <r>
      <rPr>
        <sz val="11"/>
        <color theme="1"/>
        <rFont val="黑体"/>
        <charset val="134"/>
      </rPr>
      <t>其他领域规划外项目统计(</t>
    </r>
    <r>
      <rPr>
        <sz val="11"/>
        <color theme="1"/>
        <rFont val="黑体"/>
        <charset val="134"/>
      </rPr>
      <t>省定)</t>
    </r>
  </si>
  <si>
    <t>其他领域规划外项目统计(其他追加)</t>
  </si>
  <si>
    <t>总个数</t>
  </si>
  <si>
    <t>开工个数</t>
  </si>
  <si>
    <t>完工个数</t>
  </si>
  <si>
    <t>完成投资额</t>
  </si>
  <si>
    <t>完成投资额占比</t>
  </si>
  <si>
    <t>总投资</t>
  </si>
  <si>
    <t>2022年投资</t>
  </si>
  <si>
    <r>
      <rPr>
        <sz val="11"/>
        <rFont val="黑体"/>
        <charset val="134"/>
      </rPr>
      <t>2</t>
    </r>
    <r>
      <rPr>
        <sz val="11"/>
        <rFont val="黑体"/>
        <charset val="134"/>
      </rPr>
      <t>022年投资</t>
    </r>
  </si>
  <si>
    <t>其他（水利）领域规划外项目清单</t>
  </si>
  <si>
    <t>其他（水利）领域规划外项目统计</t>
  </si>
  <si>
    <t>完成占比</t>
  </si>
  <si>
    <t>其他（中央预算内1）领域规划外项目统计</t>
  </si>
  <si>
    <t>其他（住房）领域规划外项目清单</t>
  </si>
  <si>
    <t>其他（住房）领域规划外项目统计</t>
  </si>
  <si>
    <t>其他（教育）领域规划外项目清单</t>
  </si>
  <si>
    <t>其他（教育）规划外项目统计</t>
  </si>
  <si>
    <t>其他（市政）领域规划外项目清单</t>
  </si>
  <si>
    <t>其他（市政）规划外项目统计</t>
  </si>
  <si>
    <t>其他（民政）领域规划外项目清单</t>
  </si>
  <si>
    <t>其他（民政）规划外项目统计</t>
  </si>
  <si>
    <t>其他（文化）领域规划外项目清单</t>
  </si>
  <si>
    <t>其他（文化）规划外项目统计</t>
  </si>
  <si>
    <t>其他（卫生）领域规划外项目清单</t>
  </si>
  <si>
    <t>其他（卫生）规划外项目统计</t>
  </si>
  <si>
    <t>其他（农业）领域规划外项目清单</t>
  </si>
  <si>
    <t>其他（农业）规划外项目统计</t>
  </si>
  <si>
    <t>其他（交通）领域规划外项目清单</t>
  </si>
  <si>
    <t>其他（交通）规划外项目统计</t>
  </si>
  <si>
    <t>其他领域规划外项目统计</t>
  </si>
  <si>
    <t>开封市灾后重建项目累计完成实物投资统计表</t>
  </si>
  <si>
    <t>联系人：桂鹏辉</t>
  </si>
  <si>
    <t>联系方式：13937886220</t>
  </si>
  <si>
    <t>农林业</t>
  </si>
  <si>
    <t>旅游景区</t>
  </si>
  <si>
    <t>*填表说明：1.产业项目指工业、服务业等行业.       2.本年已开工项目（个数）是指2022年开工项目；本年已竣工项目（个数）包括2022年竣工项目数和2021年已开工的续建项目数；本年已完成投资额（万元），包括2022年开工项目完成投资额和2021年已开工的续建项目投资额  3.通信、能源、高速公路、铁路、民航等行业由省通信管理局、能源局、交通运输厅、郑州铁路局集团等单位填报.  4.报送信箱：kfszhcjbgs@163.com</t>
  </si>
  <si>
    <t>开封市2022年灾后重建项目开工与完成实物投资统计表</t>
  </si>
  <si>
    <t>名称</t>
  </si>
  <si>
    <t>所有项目完成比例</t>
  </si>
  <si>
    <t>字段1</t>
  </si>
  <si>
    <t>字段2</t>
  </si>
  <si>
    <t>字段3</t>
  </si>
  <si>
    <t>输出</t>
  </si>
  <si>
    <t>完成</t>
  </si>
  <si>
    <t>%，</t>
  </si>
  <si>
    <t>兰考县全口径项目统计</t>
  </si>
  <si>
    <t>兰考县规划内项目统计</t>
  </si>
  <si>
    <t>兰考县规划外项目统计</t>
  </si>
  <si>
    <t>兰考县规划内项目清单</t>
  </si>
  <si>
    <t>兰考县规划外项目清单</t>
  </si>
  <si>
    <t>杞县全口径项目统计</t>
  </si>
  <si>
    <t>杞县规划内项目统计</t>
  </si>
  <si>
    <t>杞县规划内项目清单</t>
  </si>
  <si>
    <t>杞县规划外项目清单</t>
  </si>
  <si>
    <t>通许县全口径项目统计</t>
  </si>
  <si>
    <t>通许县规划内项目统计</t>
  </si>
  <si>
    <t>通许县规划内项目清单</t>
  </si>
  <si>
    <t>通许县规划外项目清单</t>
  </si>
  <si>
    <t>尉氏县全口径项目统计</t>
  </si>
  <si>
    <t>尉氏县规划内项目统计</t>
  </si>
  <si>
    <t>尉氏县规划内项目清单</t>
  </si>
  <si>
    <t>尉氏县规划外项目清单</t>
  </si>
  <si>
    <t>祥符区全口径项目统计</t>
  </si>
  <si>
    <t>祥符区规划内项目统计</t>
  </si>
  <si>
    <t>祥符区规划内项目清单</t>
  </si>
  <si>
    <t>祥符区规划外项目清单</t>
  </si>
  <si>
    <t>城乡一体化示范区全口径项目统计</t>
  </si>
  <si>
    <t>城乡一体化示范区规划内项目统计</t>
  </si>
  <si>
    <t>城乡一体化示范区规划内项目清单</t>
  </si>
  <si>
    <t>城乡一体化示范区规划外项目清单</t>
  </si>
  <si>
    <t>龙亭区全口径项目统计</t>
  </si>
  <si>
    <t>龙亭区规划内项目统计</t>
  </si>
  <si>
    <t>龙亭区规划内项目清单</t>
  </si>
  <si>
    <t>龙亭区规划外项目清单</t>
  </si>
  <si>
    <t>鼓楼区全口径项目统计</t>
  </si>
  <si>
    <t>鼓楼区规划内项目统计</t>
  </si>
  <si>
    <t>鼓楼区规划内项目清单</t>
  </si>
  <si>
    <t>鼓楼区规划外项目清单</t>
  </si>
  <si>
    <t>顺河回族区全口径项目统计</t>
  </si>
  <si>
    <t>顺河回族区规划内项目统计</t>
  </si>
  <si>
    <t>顺河回族区规划内项目清单</t>
  </si>
  <si>
    <t>顺河回族区规划外项目清单</t>
  </si>
  <si>
    <t>禹王台区全口径项目统计</t>
  </si>
  <si>
    <t>禹王台区规划内项目统计</t>
  </si>
  <si>
    <t>禹王台区规划内项目清单</t>
  </si>
  <si>
    <t>禹王台区规划外项目清单</t>
  </si>
  <si>
    <t>市本级全口径项目统计</t>
  </si>
  <si>
    <t>市本级规划内项目统计</t>
  </si>
  <si>
    <t>市本级规划内项目清单</t>
  </si>
  <si>
    <t>市本级规划外项目清单</t>
  </si>
  <si>
    <t>水利领域全口径项目统计</t>
  </si>
  <si>
    <t>水利领域规划内项目统计</t>
  </si>
  <si>
    <t>水利领域规划内项目清单</t>
  </si>
  <si>
    <t>水利领域规划外项目清单</t>
  </si>
  <si>
    <t>农业领域全口径项目统计</t>
  </si>
  <si>
    <t>农业领域规划内项目统计</t>
  </si>
  <si>
    <t>农业领域规划外项目统计</t>
  </si>
  <si>
    <t>农业领域规划内项目清单</t>
  </si>
  <si>
    <t>农业领域规划外项目清单</t>
  </si>
  <si>
    <t>林业领域全口径项目统计</t>
  </si>
  <si>
    <t>林业领域规划内项目统计</t>
  </si>
  <si>
    <t>林业领域规划外项目统计</t>
  </si>
  <si>
    <t>林业领域规划内项目清单</t>
  </si>
  <si>
    <t>林业领域规划外项目清单</t>
  </si>
  <si>
    <t>交通领域全口径项目统计</t>
  </si>
  <si>
    <t>交通领域规划内项目统计</t>
  </si>
  <si>
    <t>交通领域规划内项目清单</t>
  </si>
  <si>
    <t>教育领域全口径项目统计</t>
  </si>
  <si>
    <t>教育领域规划内项目统计</t>
  </si>
  <si>
    <t>教育领域规划外项目统计</t>
  </si>
  <si>
    <t>教育领域规划内项目清单</t>
  </si>
  <si>
    <t>教育领域规划外项目清单</t>
  </si>
  <si>
    <t>卫生健康领域全口径项目统计</t>
  </si>
  <si>
    <t>卫生健康领域规划内项目统计</t>
  </si>
  <si>
    <t>卫生健康领域规划外项目统计</t>
  </si>
  <si>
    <t>卫生健康领域规划内项目清单</t>
  </si>
  <si>
    <t>卫生健康领域规划外项目清单</t>
  </si>
  <si>
    <t>居民住房领域全口径项目统计</t>
  </si>
  <si>
    <t>居民住房领域规划内项目统计</t>
  </si>
  <si>
    <t>居民住房领域规划外项目统计</t>
  </si>
  <si>
    <t>居民住房领域规划内项目清单</t>
  </si>
  <si>
    <t>居民住房领域规划外项目清单</t>
  </si>
  <si>
    <t>市政领域全口径项目统计</t>
  </si>
  <si>
    <t>市政领域规划内项目统计</t>
  </si>
  <si>
    <t>市政领域规划外项目统计</t>
  </si>
  <si>
    <t>市政领域规划内项目清单</t>
  </si>
  <si>
    <t>市政领域规划外项目清单</t>
  </si>
  <si>
    <t>公共文化领域全口径项目统计</t>
  </si>
  <si>
    <t>公共文化领域规划内项目统计</t>
  </si>
  <si>
    <t>公共文化领域规划外项目统计</t>
  </si>
  <si>
    <t>公共文化领域规划内项目清单</t>
  </si>
  <si>
    <t>公共文化领域规划外项目清单</t>
  </si>
  <si>
    <t>文物保护领域全口径项目统计</t>
  </si>
  <si>
    <t>文物保护领域规划内项目统计</t>
  </si>
  <si>
    <t>文物保护领域规划外项目统计</t>
  </si>
  <si>
    <t>文物保护领域规划内项目清单</t>
  </si>
  <si>
    <t>文物保护领域规划外项目清单</t>
  </si>
  <si>
    <t>应急能力领域全口径项目统计</t>
  </si>
  <si>
    <t>应急能力领域规划内项目统计</t>
  </si>
  <si>
    <t>应急能力领域规划外项目统计</t>
  </si>
  <si>
    <t>应急能力领域规划内项目清单</t>
  </si>
  <si>
    <t>应急能力领域规划外项目清单</t>
  </si>
  <si>
    <t>乡村振兴领域全口径项目统计</t>
  </si>
  <si>
    <t>乡村振兴领域规划内项目统计</t>
  </si>
  <si>
    <t>乡村振兴领域规划外项目统计</t>
  </si>
  <si>
    <t>乡村振兴领域规划内项目清单</t>
  </si>
  <si>
    <t>乡村振兴领域规划外项目清单</t>
  </si>
  <si>
    <t>民政领域全口径项目统计</t>
  </si>
  <si>
    <t>民政领域规划内项目统计</t>
  </si>
  <si>
    <t>民政领域规划外项目统计</t>
  </si>
  <si>
    <t>民政领域规划内项目清单</t>
  </si>
  <si>
    <t>民政领域规划外项目清单</t>
  </si>
  <si>
    <t>能源领域全口径项目统计</t>
  </si>
  <si>
    <t>能源领域规划内项目统计</t>
  </si>
  <si>
    <t>能源领域规划外项目统计</t>
  </si>
  <si>
    <t>能源领域规划内项目清单</t>
  </si>
  <si>
    <t>能源领域规划外项目清单</t>
  </si>
  <si>
    <t>产业领域全口径项目统计</t>
  </si>
  <si>
    <t>产业领域规划内项目统计</t>
  </si>
  <si>
    <t>产业领域规划外项目统计</t>
  </si>
  <si>
    <t>产业领域规划内项目清单</t>
  </si>
  <si>
    <t>产业领域规划外项目清单</t>
  </si>
  <si>
    <t>粮食储备领域全口径项目统计</t>
  </si>
  <si>
    <t>粮食储备领域规划内项目统计</t>
  </si>
  <si>
    <t>粮食储备领域规划外项目统计</t>
  </si>
  <si>
    <t>粮食储备领域规划内项目清单</t>
  </si>
  <si>
    <t>粮食储备领域规划外项目清单</t>
  </si>
  <si>
    <t>生态环境领域全口径项目统计</t>
  </si>
  <si>
    <t>生态环境领域规划内项目统计</t>
  </si>
  <si>
    <t>生态环境领域规划外项目统计</t>
  </si>
  <si>
    <t>生态环境领域规划内项目清单</t>
  </si>
  <si>
    <t>生态环境领域规划外项目清单</t>
  </si>
  <si>
    <t>商超领域全口径项目统计</t>
  </si>
  <si>
    <t>商超领域规划内项目统计</t>
  </si>
  <si>
    <t>商超领域规划外项目统计</t>
  </si>
  <si>
    <t>商超领域规划内项目清单</t>
  </si>
  <si>
    <t>商超领域规划外项目清单</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</si>
</sst>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
    <numFmt numFmtId="178" formatCode="yyyy&quot;年&quot;m&quot;月&quot;;@"/>
  </numFmts>
  <fonts count="41">
    <font>
      <sz val="11"/>
      <color theme="1"/>
      <name val="宋体"/>
      <charset val="134"/>
      <scheme val="minor"/>
    </font>
    <font>
      <sz val="11"/>
      <color theme="1"/>
      <name val="黑体"/>
      <charset val="134"/>
    </font>
    <font>
      <sz val="11"/>
      <name val="黑体"/>
      <charset val="134"/>
    </font>
    <font>
      <b/>
      <sz val="10.5"/>
      <name val="宋体"/>
      <charset val="134"/>
    </font>
    <font>
      <b/>
      <sz val="11"/>
      <name val="黑体"/>
      <charset val="134"/>
    </font>
    <font>
      <b/>
      <sz val="11"/>
      <color theme="1"/>
      <name val="宋体"/>
      <charset val="134"/>
      <scheme val="minor"/>
    </font>
    <font>
      <b/>
      <sz val="11"/>
      <color rgb="FFFF0000"/>
      <name val="宋体"/>
      <charset val="134"/>
      <scheme val="minor"/>
    </font>
    <font>
      <b/>
      <sz val="10.5"/>
      <name val="Times New Roman"/>
      <charset val="134"/>
    </font>
    <font>
      <sz val="11"/>
      <name val="宋体"/>
      <charset val="134"/>
      <scheme val="minor"/>
    </font>
    <font>
      <sz val="18"/>
      <name val="黑体"/>
      <charset val="134"/>
    </font>
    <font>
      <b/>
      <sz val="10"/>
      <name val="宋体"/>
      <charset val="134"/>
    </font>
    <font>
      <b/>
      <sz val="10"/>
      <name val="Times New Roman"/>
      <charset val="134"/>
    </font>
    <font>
      <b/>
      <sz val="10"/>
      <name val="宋体"/>
      <charset val="134"/>
      <scheme val="minor"/>
    </font>
    <font>
      <sz val="10"/>
      <name val="宋体"/>
      <charset val="134"/>
      <scheme val="minor"/>
    </font>
    <font>
      <sz val="10"/>
      <name val="宋体"/>
      <charset val="134"/>
    </font>
    <font>
      <sz val="11"/>
      <color rgb="FFFF0000"/>
      <name val="宋体"/>
      <charset val="134"/>
      <scheme val="minor"/>
    </font>
    <font>
      <sz val="11"/>
      <color indexed="8"/>
      <name val="宋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name val="Times New Roman"/>
      <charset val="134"/>
    </font>
    <font>
      <sz val="12"/>
      <name val="仿宋"/>
      <charset val="134"/>
    </font>
    <font>
      <sz val="12"/>
      <name val="宋体"/>
      <charset val="134"/>
      <scheme val="minor"/>
    </font>
  </fonts>
  <fills count="37">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rgb="FFFFFF00"/>
        <bgColor indexed="64"/>
      </patternFill>
    </fill>
    <fill>
      <patternFill patternType="solid">
        <fgColor theme="3" tint="0.799951170384838"/>
        <bgColor indexed="64"/>
      </patternFill>
    </fill>
    <fill>
      <patternFill patternType="solid">
        <fgColor rgb="FF92D05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46"/>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16" applyNumberFormat="0" applyFont="0" applyAlignment="0" applyProtection="0">
      <alignment vertical="center"/>
    </xf>
    <xf numFmtId="0" fontId="21" fillId="13"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28" fillId="0" borderId="17" applyNumberFormat="0" applyFill="0" applyAlignment="0" applyProtection="0">
      <alignment vertical="center"/>
    </xf>
    <xf numFmtId="0" fontId="29" fillId="0" borderId="17" applyNumberFormat="0" applyFill="0" applyAlignment="0" applyProtection="0">
      <alignment vertical="center"/>
    </xf>
    <xf numFmtId="0" fontId="21" fillId="14" borderId="0" applyNumberFormat="0" applyBorder="0" applyAlignment="0" applyProtection="0">
      <alignment vertical="center"/>
    </xf>
    <xf numFmtId="0" fontId="24" fillId="0" borderId="18" applyNumberFormat="0" applyFill="0" applyAlignment="0" applyProtection="0">
      <alignment vertical="center"/>
    </xf>
    <xf numFmtId="0" fontId="21" fillId="15" borderId="0" applyNumberFormat="0" applyBorder="0" applyAlignment="0" applyProtection="0">
      <alignment vertical="center"/>
    </xf>
    <xf numFmtId="0" fontId="30" fillId="16" borderId="19" applyNumberFormat="0" applyAlignment="0" applyProtection="0">
      <alignment vertical="center"/>
    </xf>
    <xf numFmtId="0" fontId="31" fillId="16" borderId="15" applyNumberFormat="0" applyAlignment="0" applyProtection="0">
      <alignment vertical="center"/>
    </xf>
    <xf numFmtId="0" fontId="32" fillId="17" borderId="20" applyNumberFormat="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33" fillId="0" borderId="21" applyNumberFormat="0" applyFill="0" applyAlignment="0" applyProtection="0">
      <alignment vertical="center"/>
    </xf>
    <xf numFmtId="0" fontId="34" fillId="0" borderId="22" applyNumberFormat="0" applyFill="0" applyAlignment="0" applyProtection="0">
      <alignment vertical="center"/>
    </xf>
    <xf numFmtId="0" fontId="35" fillId="20" borderId="0" applyNumberFormat="0" applyBorder="0" applyAlignment="0" applyProtection="0">
      <alignment vertical="center"/>
    </xf>
    <xf numFmtId="0" fontId="36"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18" fillId="3" borderId="0" applyNumberFormat="0" applyBorder="0" applyAlignment="0" applyProtection="0">
      <alignment vertical="center"/>
    </xf>
    <xf numFmtId="0" fontId="21" fillId="33" borderId="0" applyNumberFormat="0" applyBorder="0" applyAlignment="0" applyProtection="0">
      <alignment vertical="center"/>
    </xf>
    <xf numFmtId="0" fontId="21" fillId="34" borderId="0" applyNumberFormat="0" applyBorder="0" applyAlignment="0" applyProtection="0">
      <alignment vertical="center"/>
    </xf>
    <xf numFmtId="0" fontId="0" fillId="0" borderId="0">
      <alignment vertical="center"/>
    </xf>
    <xf numFmtId="0" fontId="18" fillId="2" borderId="0" applyNumberFormat="0" applyBorder="0" applyAlignment="0" applyProtection="0">
      <alignment vertical="center"/>
    </xf>
    <xf numFmtId="0" fontId="21" fillId="35" borderId="0" applyNumberFormat="0" applyBorder="0" applyAlignment="0" applyProtection="0">
      <alignment vertical="center"/>
    </xf>
    <xf numFmtId="0" fontId="16" fillId="36" borderId="0" applyNumberFormat="0" applyBorder="0" applyAlignment="0" applyProtection="0">
      <alignment vertical="center"/>
    </xf>
    <xf numFmtId="0" fontId="37" fillId="0" borderId="0">
      <alignment vertical="center"/>
      <protection locked="0"/>
    </xf>
    <xf numFmtId="0" fontId="0" fillId="0" borderId="0"/>
  </cellStyleXfs>
  <cellXfs count="221">
    <xf numFmtId="0" fontId="0" fillId="0" borderId="0" xfId="0"/>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177" fontId="5" fillId="0" borderId="5" xfId="11" applyNumberFormat="1" applyFont="1" applyFill="1" applyBorder="1" applyAlignment="1">
      <alignment horizontal="center" vertical="center"/>
    </xf>
    <xf numFmtId="177" fontId="6" fillId="0" borderId="5" xfId="11"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76" fontId="3" fillId="3" borderId="5" xfId="0" applyNumberFormat="1" applyFont="1" applyFill="1" applyBorder="1" applyAlignment="1">
      <alignment horizontal="center" vertical="center" wrapText="1"/>
    </xf>
    <xf numFmtId="176" fontId="7" fillId="2" borderId="5" xfId="0" applyNumberFormat="1" applyFont="1" applyFill="1" applyBorder="1" applyAlignment="1">
      <alignment horizontal="center" vertical="center" wrapText="1"/>
    </xf>
    <xf numFmtId="177" fontId="3" fillId="2" borderId="5" xfId="11"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176" fontId="7" fillId="3" borderId="5" xfId="0" applyNumberFormat="1" applyFont="1" applyFill="1" applyBorder="1" applyAlignment="1">
      <alignment horizontal="center" vertical="center" wrapText="1"/>
    </xf>
    <xf numFmtId="177" fontId="3" fillId="3" borderId="5" xfId="11" applyNumberFormat="1" applyFont="1" applyFill="1" applyBorder="1" applyAlignment="1">
      <alignment horizontal="center" vertical="center" wrapText="1"/>
    </xf>
    <xf numFmtId="178" fontId="0" fillId="0" borderId="0" xfId="0" applyNumberFormat="1"/>
    <xf numFmtId="0" fontId="0" fillId="4" borderId="0" xfId="0" applyFill="1"/>
    <xf numFmtId="178" fontId="0" fillId="4" borderId="0" xfId="0" applyNumberFormat="1" applyFill="1"/>
    <xf numFmtId="0" fontId="0" fillId="0" borderId="0" xfId="0" applyNumberFormat="1"/>
    <xf numFmtId="0" fontId="0" fillId="0" borderId="0" xfId="0" applyFill="1"/>
    <xf numFmtId="178" fontId="0" fillId="0" borderId="0" xfId="0" applyNumberFormat="1" applyFill="1"/>
    <xf numFmtId="0" fontId="8" fillId="0" borderId="5" xfId="0" applyFont="1" applyFill="1" applyBorder="1"/>
    <xf numFmtId="0" fontId="0" fillId="0" borderId="0" xfId="0" applyAlignment="1">
      <alignment horizontal="right"/>
    </xf>
    <xf numFmtId="0" fontId="0" fillId="0" borderId="0" xfId="0" applyBorder="1"/>
    <xf numFmtId="178" fontId="0" fillId="0" borderId="0" xfId="0" applyNumberFormat="1" applyBorder="1"/>
    <xf numFmtId="0" fontId="2" fillId="0" borderId="7"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176" fontId="5" fillId="0" borderId="5" xfId="0" applyNumberFormat="1" applyFont="1" applyFill="1" applyBorder="1"/>
    <xf numFmtId="177" fontId="5" fillId="0" borderId="5" xfId="11" applyNumberFormat="1" applyFont="1" applyFill="1" applyBorder="1" applyAlignment="1"/>
    <xf numFmtId="177" fontId="6" fillId="0" borderId="5" xfId="11" applyNumberFormat="1" applyFont="1" applyFill="1" applyBorder="1" applyAlignme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wrapText="1"/>
    </xf>
    <xf numFmtId="0" fontId="0" fillId="0" borderId="0" xfId="0" applyFont="1" applyAlignment="1">
      <alignment wrapText="1"/>
    </xf>
    <xf numFmtId="0" fontId="0" fillId="0" borderId="0" xfId="0" applyFont="1"/>
    <xf numFmtId="0" fontId="9" fillId="0" borderId="0" xfId="0" applyFont="1" applyAlignment="1">
      <alignment horizontal="center" vertical="center"/>
    </xf>
    <xf numFmtId="0" fontId="10" fillId="0" borderId="4"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176" fontId="10" fillId="0" borderId="8"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176" fontId="10" fillId="0" borderId="9"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11" fillId="0" borderId="5" xfId="0" applyNumberFormat="1" applyFont="1" applyBorder="1" applyAlignment="1">
      <alignment horizontal="center" vertical="center" wrapText="1"/>
    </xf>
    <xf numFmtId="176" fontId="10" fillId="0" borderId="10" xfId="0" applyNumberFormat="1" applyFont="1" applyBorder="1" applyAlignment="1">
      <alignment horizontal="center" vertical="center" wrapText="1"/>
    </xf>
    <xf numFmtId="176" fontId="12" fillId="0" borderId="5" xfId="0" applyNumberFormat="1" applyFont="1" applyBorder="1" applyAlignment="1">
      <alignment horizontal="center" vertical="center" wrapText="1"/>
    </xf>
    <xf numFmtId="176" fontId="12" fillId="0" borderId="3" xfId="0" applyNumberFormat="1" applyFont="1" applyBorder="1" applyAlignment="1">
      <alignment horizontal="center" vertical="center" wrapText="1"/>
    </xf>
    <xf numFmtId="176" fontId="5" fillId="0" borderId="5" xfId="0" applyNumberFormat="1" applyFont="1" applyBorder="1" applyAlignment="1">
      <alignment horizontal="center" vertical="center"/>
    </xf>
    <xf numFmtId="176" fontId="5" fillId="2" borderId="5" xfId="0" applyNumberFormat="1" applyFont="1" applyFill="1" applyBorder="1" applyAlignment="1">
      <alignment horizontal="center" vertical="center"/>
    </xf>
    <xf numFmtId="0" fontId="13" fillId="0" borderId="3" xfId="0" applyFont="1" applyBorder="1" applyAlignment="1">
      <alignment horizontal="center" vertical="center"/>
    </xf>
    <xf numFmtId="176" fontId="13" fillId="0" borderId="5" xfId="0" applyNumberFormat="1" applyFont="1" applyBorder="1" applyAlignment="1">
      <alignment horizontal="center" vertical="center" wrapText="1"/>
    </xf>
    <xf numFmtId="0" fontId="13" fillId="2" borderId="5" xfId="0" applyFont="1" applyFill="1" applyBorder="1" applyAlignment="1">
      <alignment horizontal="center" vertical="center"/>
    </xf>
    <xf numFmtId="176" fontId="13" fillId="2" borderId="5" xfId="0" applyNumberFormat="1" applyFont="1" applyFill="1" applyBorder="1" applyAlignment="1">
      <alignment horizontal="center" vertical="center" wrapText="1"/>
    </xf>
    <xf numFmtId="0" fontId="13" fillId="0" borderId="5" xfId="0" applyFont="1" applyBorder="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0" fillId="2" borderId="5" xfId="0" applyFont="1" applyFill="1" applyBorder="1" applyAlignment="1">
      <alignment horizontal="center" vertical="center"/>
    </xf>
    <xf numFmtId="176" fontId="10" fillId="2" borderId="5" xfId="0" applyNumberFormat="1" applyFont="1" applyFill="1" applyBorder="1" applyAlignment="1">
      <alignment horizontal="center" vertical="center" wrapText="1"/>
    </xf>
    <xf numFmtId="177" fontId="0" fillId="0" borderId="0" xfId="11" applyNumberFormat="1" applyFont="1" applyAlignment="1"/>
    <xf numFmtId="177" fontId="0" fillId="0" borderId="0" xfId="0" applyNumberFormat="1"/>
    <xf numFmtId="176" fontId="5" fillId="5"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176" fontId="13" fillId="5" borderId="5" xfId="0" applyNumberFormat="1" applyFont="1" applyFill="1" applyBorder="1" applyAlignment="1">
      <alignment horizontal="center" vertical="center" wrapText="1"/>
    </xf>
    <xf numFmtId="0" fontId="10" fillId="5" borderId="5" xfId="0" applyFont="1" applyFill="1" applyBorder="1" applyAlignment="1">
      <alignment horizontal="center" vertical="center"/>
    </xf>
    <xf numFmtId="176" fontId="11" fillId="2" borderId="5" xfId="0" applyNumberFormat="1" applyFont="1" applyFill="1" applyBorder="1" applyAlignment="1">
      <alignment horizontal="center" vertical="center" wrapText="1"/>
    </xf>
    <xf numFmtId="176" fontId="10" fillId="5" borderId="5" xfId="0" applyNumberFormat="1" applyFont="1" applyFill="1" applyBorder="1" applyAlignment="1">
      <alignment horizontal="center" vertical="center" wrapText="1"/>
    </xf>
    <xf numFmtId="176" fontId="11" fillId="5" borderId="5" xfId="0" applyNumberFormat="1" applyFont="1" applyFill="1" applyBorder="1" applyAlignment="1">
      <alignment horizontal="center" vertical="center" wrapText="1"/>
    </xf>
    <xf numFmtId="0" fontId="14" fillId="0" borderId="0" xfId="0" applyFont="1" applyAlignment="1">
      <alignment horizontal="left" vertical="center"/>
    </xf>
    <xf numFmtId="176" fontId="14" fillId="0" borderId="8" xfId="0" applyNumberFormat="1" applyFont="1" applyBorder="1" applyAlignment="1">
      <alignment horizontal="center" vertical="center" wrapText="1"/>
    </xf>
    <xf numFmtId="176" fontId="14" fillId="0" borderId="9" xfId="0" applyNumberFormat="1" applyFont="1" applyBorder="1" applyAlignment="1">
      <alignment horizontal="center" vertical="center" wrapText="1"/>
    </xf>
    <xf numFmtId="176" fontId="14" fillId="0" borderId="10" xfId="0" applyNumberFormat="1" applyFont="1" applyBorder="1" applyAlignment="1">
      <alignment horizontal="center" vertical="center" wrapText="1"/>
    </xf>
    <xf numFmtId="176" fontId="13" fillId="0" borderId="5" xfId="0" applyNumberFormat="1" applyFont="1" applyBorder="1" applyAlignment="1">
      <alignment horizontal="left" vertical="center" wrapText="1"/>
    </xf>
    <xf numFmtId="0" fontId="13" fillId="0" borderId="5" xfId="0" applyFont="1" applyBorder="1" applyAlignment="1">
      <alignment vertical="center"/>
    </xf>
    <xf numFmtId="176" fontId="13" fillId="0" borderId="5" xfId="0" applyNumberFormat="1" applyFont="1" applyBorder="1" applyAlignment="1">
      <alignment vertical="center" wrapText="1"/>
    </xf>
    <xf numFmtId="0" fontId="13" fillId="0" borderId="3" xfId="0" applyFont="1" applyBorder="1" applyAlignment="1">
      <alignment horizontal="left" vertical="center" wrapText="1"/>
    </xf>
    <xf numFmtId="0" fontId="1"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176" fontId="3" fillId="6" borderId="5"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Alignment="1">
      <alignment horizontal="center"/>
    </xf>
    <xf numFmtId="176" fontId="0" fillId="0" borderId="0" xfId="0" applyNumberFormat="1"/>
    <xf numFmtId="0" fontId="2" fillId="3" borderId="4" xfId="0"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1" fillId="6" borderId="5" xfId="0" applyFont="1" applyFill="1" applyBorder="1" applyAlignment="1">
      <alignment horizontal="center" vertical="center" wrapText="1"/>
    </xf>
    <xf numFmtId="177" fontId="3" fillId="6" borderId="5" xfId="11" applyNumberFormat="1" applyFont="1" applyFill="1" applyBorder="1" applyAlignment="1">
      <alignment horizontal="center" vertical="center" wrapText="1"/>
    </xf>
    <xf numFmtId="177" fontId="3" fillId="3" borderId="4" xfId="11" applyNumberFormat="1" applyFont="1" applyFill="1" applyBorder="1" applyAlignment="1">
      <alignment horizontal="center" vertical="center" wrapText="1"/>
    </xf>
    <xf numFmtId="176" fontId="7" fillId="6" borderId="5" xfId="0" applyNumberFormat="1" applyFont="1" applyFill="1" applyBorder="1" applyAlignment="1">
      <alignment horizontal="center" vertical="center" wrapText="1"/>
    </xf>
    <xf numFmtId="0" fontId="0" fillId="0" borderId="0" xfId="0" applyAlignment="1"/>
    <xf numFmtId="0" fontId="10" fillId="0" borderId="2" xfId="0" applyFont="1" applyFill="1" applyBorder="1" applyAlignment="1">
      <alignment horizontal="center" vertical="center"/>
    </xf>
    <xf numFmtId="176" fontId="10" fillId="0" borderId="5" xfId="0" applyNumberFormat="1" applyFont="1" applyFill="1" applyBorder="1" applyAlignment="1">
      <alignment horizontal="center" vertical="center" wrapText="1"/>
    </xf>
    <xf numFmtId="177" fontId="15" fillId="0" borderId="5" xfId="11" applyNumberFormat="1" applyFont="1" applyFill="1" applyBorder="1">
      <alignment vertical="center"/>
    </xf>
    <xf numFmtId="0" fontId="13" fillId="0" borderId="3" xfId="0" applyFont="1" applyBorder="1" applyAlignment="1">
      <alignment horizontal="center" vertical="center" wrapText="1"/>
    </xf>
    <xf numFmtId="1" fontId="13" fillId="0" borderId="5" xfId="0" applyNumberFormat="1" applyFont="1" applyBorder="1" applyAlignment="1">
      <alignment horizontal="center" vertical="center"/>
    </xf>
    <xf numFmtId="0" fontId="13" fillId="0" borderId="0" xfId="0" applyFont="1" applyBorder="1" applyAlignment="1">
      <alignment horizontal="left" vertical="center"/>
    </xf>
    <xf numFmtId="176" fontId="13" fillId="0" borderId="0" xfId="0" applyNumberFormat="1" applyFont="1" applyBorder="1" applyAlignment="1">
      <alignment horizontal="center" vertical="center" wrapText="1"/>
    </xf>
    <xf numFmtId="177" fontId="15" fillId="0" borderId="5" xfId="11" applyNumberFormat="1"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5" xfId="0" applyFont="1" applyFill="1" applyBorder="1" applyAlignment="1">
      <alignment horizontal="center" vertical="center"/>
    </xf>
    <xf numFmtId="176" fontId="10" fillId="3" borderId="5" xfId="0" applyNumberFormat="1" applyFont="1" applyFill="1" applyBorder="1" applyAlignment="1">
      <alignment horizontal="center" vertical="center" wrapText="1"/>
    </xf>
    <xf numFmtId="176" fontId="11" fillId="3" borderId="5" xfId="0" applyNumberFormat="1" applyFont="1" applyFill="1" applyBorder="1" applyAlignment="1">
      <alignment horizontal="center" vertical="center" wrapText="1"/>
    </xf>
    <xf numFmtId="176" fontId="12" fillId="2" borderId="5" xfId="0" applyNumberFormat="1" applyFont="1" applyFill="1" applyBorder="1" applyAlignment="1">
      <alignment horizontal="center" vertical="center" wrapText="1"/>
    </xf>
    <xf numFmtId="177" fontId="0" fillId="2" borderId="5" xfId="11" applyNumberFormat="1" applyFont="1" applyFill="1" applyBorder="1">
      <alignment vertical="center"/>
    </xf>
    <xf numFmtId="176" fontId="12" fillId="3" borderId="5" xfId="0" applyNumberFormat="1" applyFont="1" applyFill="1" applyBorder="1" applyAlignment="1">
      <alignment horizontal="center" vertical="center" wrapText="1"/>
    </xf>
    <xf numFmtId="1" fontId="13" fillId="2" borderId="5" xfId="0" applyNumberFormat="1" applyFont="1" applyFill="1" applyBorder="1" applyAlignment="1">
      <alignment horizontal="center" vertical="center"/>
    </xf>
    <xf numFmtId="0" fontId="13" fillId="3" borderId="5" xfId="0" applyFont="1" applyFill="1" applyBorder="1" applyAlignment="1">
      <alignment horizontal="center" vertical="center"/>
    </xf>
    <xf numFmtId="1" fontId="13" fillId="3" borderId="5" xfId="0" applyNumberFormat="1" applyFont="1" applyFill="1" applyBorder="1" applyAlignment="1">
      <alignment horizontal="center" vertical="center"/>
    </xf>
    <xf numFmtId="0" fontId="13" fillId="2" borderId="5" xfId="51" applyFont="1" applyFill="1" applyBorder="1" applyAlignment="1">
      <alignment horizontal="center" vertical="center" wrapText="1"/>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176" fontId="14" fillId="3" borderId="8" xfId="0" applyNumberFormat="1" applyFont="1" applyFill="1" applyBorder="1" applyAlignment="1">
      <alignment horizontal="center" vertical="center" wrapText="1"/>
    </xf>
    <xf numFmtId="0" fontId="0" fillId="0" borderId="5" xfId="0" applyBorder="1" applyAlignment="1">
      <alignment vertical="center"/>
    </xf>
    <xf numFmtId="176" fontId="14" fillId="3" borderId="9" xfId="0" applyNumberFormat="1" applyFont="1" applyFill="1" applyBorder="1" applyAlignment="1">
      <alignment horizontal="center" vertical="center" wrapText="1"/>
    </xf>
    <xf numFmtId="176" fontId="14" fillId="3" borderId="10" xfId="0" applyNumberFormat="1" applyFont="1" applyFill="1" applyBorder="1" applyAlignment="1">
      <alignment horizontal="center" vertical="center" wrapText="1"/>
    </xf>
    <xf numFmtId="177" fontId="0" fillId="3" borderId="5" xfId="11" applyNumberFormat="1" applyFont="1" applyFill="1" applyBorder="1">
      <alignment vertical="center"/>
    </xf>
    <xf numFmtId="0" fontId="10" fillId="3" borderId="13"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6" fillId="2" borderId="1" xfId="0" applyFont="1" applyFill="1" applyBorder="1" applyAlignment="1">
      <alignment horizontal="center" vertical="center"/>
    </xf>
    <xf numFmtId="0" fontId="0" fillId="2" borderId="2" xfId="0" applyFill="1" applyBorder="1" applyAlignment="1">
      <alignment horizontal="center" vertical="center"/>
    </xf>
    <xf numFmtId="0" fontId="0" fillId="0" borderId="5" xfId="0"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0" fillId="2" borderId="5" xfId="0" applyFill="1" applyBorder="1" applyAlignment="1">
      <alignment horizontal="center" vertical="center"/>
    </xf>
    <xf numFmtId="0" fontId="17" fillId="0" borderId="5" xfId="0" applyFont="1" applyBorder="1" applyAlignment="1">
      <alignment vertical="center"/>
    </xf>
    <xf numFmtId="0" fontId="0" fillId="2" borderId="5" xfId="0" applyFill="1" applyBorder="1" applyAlignment="1">
      <alignment vertical="center"/>
    </xf>
    <xf numFmtId="0" fontId="0" fillId="2" borderId="3" xfId="0" applyFill="1" applyBorder="1" applyAlignment="1">
      <alignment horizontal="center" vertical="center"/>
    </xf>
    <xf numFmtId="0" fontId="16" fillId="3" borderId="6" xfId="0" applyFont="1" applyFill="1" applyBorder="1" applyAlignment="1">
      <alignment horizontal="center" vertical="center"/>
    </xf>
    <xf numFmtId="0" fontId="16" fillId="3" borderId="4"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0" fillId="3" borderId="5" xfId="0" applyFill="1" applyBorder="1" applyAlignment="1">
      <alignment horizontal="center" vertical="center"/>
    </xf>
    <xf numFmtId="0" fontId="17" fillId="2" borderId="5" xfId="0" applyFont="1" applyFill="1" applyBorder="1" applyAlignment="1">
      <alignment vertical="center"/>
    </xf>
    <xf numFmtId="0" fontId="0" fillId="3" borderId="5" xfId="0" applyFill="1" applyBorder="1" applyAlignment="1">
      <alignment vertical="center"/>
    </xf>
    <xf numFmtId="0" fontId="17" fillId="3" borderId="1"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5" xfId="0" applyFont="1" applyFill="1" applyBorder="1" applyAlignment="1">
      <alignment vertical="center"/>
    </xf>
    <xf numFmtId="0" fontId="10" fillId="0" borderId="3" xfId="0" applyFont="1" applyBorder="1" applyAlignment="1">
      <alignment horizontal="center" vertical="center"/>
    </xf>
    <xf numFmtId="0" fontId="12" fillId="0" borderId="0" xfId="0" applyFont="1" applyBorder="1" applyAlignment="1">
      <alignment horizontal="left" vertical="center" wrapText="1"/>
    </xf>
    <xf numFmtId="0" fontId="10" fillId="0" borderId="4" xfId="0" applyFont="1" applyBorder="1" applyAlignment="1">
      <alignment vertical="center"/>
    </xf>
    <xf numFmtId="176" fontId="12" fillId="0" borderId="0" xfId="0" applyNumberFormat="1" applyFont="1" applyBorder="1" applyAlignment="1">
      <alignment horizontal="center" vertical="center" wrapText="1"/>
    </xf>
    <xf numFmtId="0" fontId="13" fillId="0" borderId="0" xfId="0" applyFont="1" applyBorder="1" applyAlignment="1">
      <alignment horizontal="center" vertical="center"/>
    </xf>
    <xf numFmtId="177" fontId="0" fillId="0" borderId="0" xfId="11" applyNumberFormat="1" applyFont="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177" fontId="0" fillId="2" borderId="5" xfId="11" applyNumberFormat="1" applyFont="1" applyFill="1" applyBorder="1" applyAlignment="1">
      <alignment horizontal="center" vertical="center"/>
    </xf>
    <xf numFmtId="176" fontId="13" fillId="0" borderId="0" xfId="0" applyNumberFormat="1" applyFont="1" applyBorder="1" applyAlignment="1">
      <alignment horizontal="center" vertical="center"/>
    </xf>
    <xf numFmtId="0" fontId="10" fillId="3" borderId="3" xfId="0" applyFont="1" applyFill="1" applyBorder="1" applyAlignment="1">
      <alignment horizontal="center" vertical="center"/>
    </xf>
    <xf numFmtId="176" fontId="10" fillId="3" borderId="10" xfId="0" applyNumberFormat="1" applyFont="1" applyFill="1" applyBorder="1" applyAlignment="1">
      <alignment horizontal="center" vertical="center" wrapText="1"/>
    </xf>
    <xf numFmtId="177" fontId="0" fillId="3" borderId="5" xfId="11" applyNumberFormat="1" applyFont="1" applyFill="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vertical="center"/>
    </xf>
    <xf numFmtId="176" fontId="0" fillId="0" borderId="5" xfId="0" applyNumberFormat="1" applyBorder="1" applyAlignment="1">
      <alignment vertical="center"/>
    </xf>
    <xf numFmtId="176" fontId="0" fillId="2" borderId="5" xfId="0" applyNumberFormat="1" applyFill="1" applyBorder="1" applyAlignment="1">
      <alignment vertical="center"/>
    </xf>
    <xf numFmtId="0" fontId="16" fillId="3" borderId="5" xfId="0" applyFont="1" applyFill="1" applyBorder="1" applyAlignment="1">
      <alignment horizontal="center" vertical="center"/>
    </xf>
    <xf numFmtId="0" fontId="0" fillId="3" borderId="0" xfId="0" applyFill="1" applyAlignment="1">
      <alignment vertical="center"/>
    </xf>
    <xf numFmtId="176" fontId="0" fillId="3" borderId="5" xfId="0" applyNumberFormat="1" applyFill="1" applyBorder="1" applyAlignment="1">
      <alignment vertical="center"/>
    </xf>
    <xf numFmtId="0" fontId="1" fillId="0" borderId="0" xfId="0" applyFont="1" applyAlignment="1">
      <alignment horizontal="center" vertical="center" wrapText="1"/>
    </xf>
    <xf numFmtId="0" fontId="8" fillId="0" borderId="0" xfId="0" applyFont="1"/>
    <xf numFmtId="0" fontId="8" fillId="0" borderId="0" xfId="0" applyFont="1" applyFill="1"/>
    <xf numFmtId="0" fontId="8" fillId="7" borderId="0" xfId="0" applyFont="1" applyFill="1"/>
    <xf numFmtId="0" fontId="2"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Border="1"/>
    <xf numFmtId="0" fontId="8" fillId="0" borderId="5" xfId="0" applyFont="1" applyFill="1" applyBorder="1" applyAlignment="1">
      <alignment horizontal="center" vertical="center"/>
    </xf>
    <xf numFmtId="0" fontId="3" fillId="7" borderId="5" xfId="0" applyFont="1" applyFill="1" applyBorder="1" applyAlignment="1">
      <alignment horizontal="center" vertical="center" wrapText="1"/>
    </xf>
    <xf numFmtId="176" fontId="3" fillId="7" borderId="5" xfId="0" applyNumberFormat="1" applyFont="1" applyFill="1" applyBorder="1" applyAlignment="1">
      <alignment horizontal="center" vertical="center" wrapText="1"/>
    </xf>
    <xf numFmtId="0" fontId="8" fillId="0" borderId="5" xfId="0" applyFont="1" applyFill="1" applyBorder="1" applyAlignment="1">
      <alignment horizontal="center"/>
    </xf>
    <xf numFmtId="0" fontId="8" fillId="7" borderId="5" xfId="0" applyFont="1" applyFill="1" applyBorder="1"/>
    <xf numFmtId="57" fontId="13" fillId="0" borderId="5" xfId="0" applyNumberFormat="1" applyFont="1" applyFill="1" applyBorder="1" applyAlignment="1">
      <alignment horizontal="center" vertical="center"/>
    </xf>
    <xf numFmtId="57" fontId="13" fillId="0" borderId="5" xfId="0" applyNumberFormat="1"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vertical="center" wrapText="1"/>
    </xf>
    <xf numFmtId="0" fontId="2" fillId="7" borderId="5" xfId="0" applyFont="1" applyFill="1" applyBorder="1" applyAlignment="1">
      <alignment vertical="center" wrapText="1"/>
    </xf>
    <xf numFmtId="0" fontId="2" fillId="0" borderId="0" xfId="0" applyFont="1" applyAlignment="1">
      <alignment horizontal="center" vertical="center"/>
    </xf>
    <xf numFmtId="0" fontId="2" fillId="7" borderId="0" xfId="0" applyFont="1" applyFill="1" applyAlignment="1">
      <alignment horizontal="center" vertical="center" wrapText="1"/>
    </xf>
    <xf numFmtId="177" fontId="8" fillId="0" borderId="0" xfId="11" applyNumberFormat="1" applyFont="1" applyAlignment="1"/>
    <xf numFmtId="9" fontId="1" fillId="0" borderId="0" xfId="11" applyFont="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vertical="center" wrapText="1"/>
    </xf>
    <xf numFmtId="0" fontId="8" fillId="4" borderId="5" xfId="0" applyFont="1" applyFill="1" applyBorder="1"/>
    <xf numFmtId="0" fontId="8" fillId="4" borderId="5" xfId="0" applyFont="1" applyFill="1" applyBorder="1" applyAlignment="1">
      <alignment horizontal="center" vertical="center"/>
    </xf>
    <xf numFmtId="0" fontId="15" fillId="4" borderId="5" xfId="0" applyFont="1" applyFill="1" applyBorder="1" applyAlignment="1">
      <alignment horizontal="center" vertical="center"/>
    </xf>
    <xf numFmtId="14" fontId="8" fillId="0" borderId="0" xfId="0" applyNumberFormat="1" applyFont="1" applyFill="1"/>
    <xf numFmtId="0" fontId="8" fillId="0" borderId="0" xfId="0" applyFont="1" applyFill="1" applyAlignment="1"/>
    <xf numFmtId="177" fontId="8" fillId="0" borderId="0" xfId="0" applyNumberFormat="1" applyFont="1"/>
    <xf numFmtId="176" fontId="3" fillId="0" borderId="5" xfId="0" applyNumberFormat="1" applyFont="1" applyBorder="1" applyAlignment="1">
      <alignment horizontal="center" vertical="center" wrapText="1"/>
    </xf>
    <xf numFmtId="0" fontId="8" fillId="0" borderId="5" xfId="0" applyFont="1" applyBorder="1" applyAlignment="1">
      <alignment horizontal="center"/>
    </xf>
    <xf numFmtId="0" fontId="8" fillId="0" borderId="5" xfId="0" applyFont="1" applyBorder="1" applyAlignment="1">
      <alignment horizontal="center" vertical="center" wrapText="1"/>
    </xf>
    <xf numFmtId="0" fontId="13" fillId="7" borderId="5" xfId="0" applyFont="1" applyFill="1" applyBorder="1" applyAlignment="1">
      <alignment horizontal="center" vertical="center"/>
    </xf>
    <xf numFmtId="0" fontId="13" fillId="0" borderId="5" xfId="0" applyFont="1" applyFill="1" applyBorder="1" applyAlignment="1">
      <alignment horizontal="center" vertical="center"/>
    </xf>
    <xf numFmtId="178" fontId="13" fillId="0" borderId="5" xfId="0" applyNumberFormat="1" applyFont="1" applyBorder="1" applyAlignment="1">
      <alignment horizontal="center" vertical="center"/>
    </xf>
    <xf numFmtId="177" fontId="2" fillId="0" borderId="0" xfId="11" applyNumberFormat="1" applyFont="1" applyAlignment="1">
      <alignment horizontal="center" vertical="center" wrapText="1"/>
    </xf>
    <xf numFmtId="177" fontId="2" fillId="0" borderId="0" xfId="0" applyNumberFormat="1" applyFont="1" applyAlignment="1">
      <alignment horizontal="center" vertical="center" wrapText="1"/>
    </xf>
    <xf numFmtId="0" fontId="8" fillId="7" borderId="14" xfId="0" applyFont="1" applyFill="1" applyBorder="1"/>
    <xf numFmtId="0" fontId="8" fillId="4" borderId="5" xfId="0" applyFont="1" applyFill="1" applyBorder="1" applyAlignment="1"/>
    <xf numFmtId="0" fontId="8" fillId="4" borderId="5" xfId="0" applyFont="1" applyFill="1" applyBorder="1" applyAlignment="1">
      <alignment horizontal="center"/>
    </xf>
    <xf numFmtId="0" fontId="8" fillId="0" borderId="5" xfId="0" applyFont="1" applyBorder="1" applyAlignment="1">
      <alignment wrapText="1"/>
    </xf>
    <xf numFmtId="0" fontId="13" fillId="4" borderId="5" xfId="0" applyFont="1" applyFill="1" applyBorder="1" applyAlignment="1">
      <alignment horizontal="center" vertical="center"/>
    </xf>
    <xf numFmtId="178" fontId="13" fillId="4" borderId="5" xfId="0" applyNumberFormat="1" applyFont="1" applyFill="1" applyBorder="1" applyAlignment="1">
      <alignment horizontal="center" vertical="center"/>
    </xf>
    <xf numFmtId="0" fontId="2" fillId="0" borderId="0" xfId="0" applyFont="1" applyFill="1" applyAlignment="1">
      <alignment horizontal="center" vertical="center"/>
    </xf>
    <xf numFmtId="177" fontId="8" fillId="0" borderId="0" xfId="11" applyNumberFormat="1" applyFont="1" applyFill="1" applyAlignment="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40% - 强调文字颜色 4 2 2 11" xfId="51"/>
    <cellStyle name="常规 2" xfId="52"/>
    <cellStyle name="常规 3"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customXml" Target="../customXml/item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9" tint="0.599993896298105"/>
    <pageSetUpPr fitToPage="1"/>
  </sheetPr>
  <dimension ref="A1:AC254"/>
  <sheetViews>
    <sheetView workbookViewId="0">
      <pane xSplit="3" ySplit="1" topLeftCell="D2" activePane="bottomRight" state="frozen"/>
      <selection/>
      <selection pane="topRight"/>
      <selection pane="bottomLeft"/>
      <selection pane="bottomRight" activeCell="A1" sqref="A1:R54"/>
    </sheetView>
  </sheetViews>
  <sheetFormatPr defaultColWidth="9" defaultRowHeight="13.5"/>
  <cols>
    <col min="1" max="1" width="5.26666666666667" style="175" customWidth="1"/>
    <col min="2" max="2" width="25.1833333333333" style="175" customWidth="1"/>
    <col min="3" max="3" width="9.36666666666667" style="175" customWidth="1"/>
    <col min="4" max="4" width="24.5416666666667" style="175" customWidth="1"/>
    <col min="5" max="8" width="8.725" style="175" customWidth="1"/>
    <col min="9" max="9" width="11.3666666666667" style="176" customWidth="1"/>
    <col min="10" max="10" width="9.26666666666667" style="175" customWidth="1"/>
    <col min="11" max="11" width="9.26666666666667" style="176" customWidth="1"/>
    <col min="12" max="12" width="8.26666666666667" style="175" customWidth="1"/>
    <col min="13" max="13" width="11.3666666666667" style="175" customWidth="1"/>
    <col min="14" max="14" width="11.725" style="175" customWidth="1"/>
    <col min="15" max="15" width="11.3666666666667" style="175" customWidth="1"/>
    <col min="16" max="16" width="9" style="175" customWidth="1"/>
    <col min="17" max="17" width="8.63333333333333" style="175" customWidth="1"/>
    <col min="18" max="18" width="11.6333333333333" style="175" customWidth="1"/>
    <col min="19" max="24" width="11.45" style="175" customWidth="1"/>
    <col min="25" max="25" width="7.26666666666667" style="195" customWidth="1"/>
    <col min="26" max="26" width="9.725" style="204" customWidth="1"/>
    <col min="27" max="27" width="8.45" style="195" customWidth="1"/>
    <col min="28" max="28" width="6.26666666666667" style="177" customWidth="1"/>
    <col min="29" max="16384" width="9" style="175"/>
  </cols>
  <sheetData>
    <row r="1" s="190" customFormat="1" ht="51" spans="1:29">
      <c r="A1" s="178" t="s">
        <v>0</v>
      </c>
      <c r="B1" s="178" t="s">
        <v>1</v>
      </c>
      <c r="C1" s="178" t="s">
        <v>2</v>
      </c>
      <c r="D1" s="178" t="s">
        <v>3</v>
      </c>
      <c r="E1" s="205" t="s">
        <v>4</v>
      </c>
      <c r="F1" s="205" t="s">
        <v>5</v>
      </c>
      <c r="G1" s="205" t="s">
        <v>6</v>
      </c>
      <c r="H1" s="205" t="s">
        <v>7</v>
      </c>
      <c r="I1" s="7" t="s">
        <v>8</v>
      </c>
      <c r="J1" s="184" t="s">
        <v>9</v>
      </c>
      <c r="K1" s="7" t="s">
        <v>10</v>
      </c>
      <c r="L1" s="184" t="s">
        <v>11</v>
      </c>
      <c r="M1" s="205" t="s">
        <v>12</v>
      </c>
      <c r="N1" s="205" t="s">
        <v>13</v>
      </c>
      <c r="O1" s="178" t="s">
        <v>14</v>
      </c>
      <c r="P1" s="178" t="s">
        <v>15</v>
      </c>
      <c r="Q1" s="178" t="s">
        <v>16</v>
      </c>
      <c r="R1" s="189" t="s">
        <v>17</v>
      </c>
      <c r="S1" s="190" t="s">
        <v>18</v>
      </c>
      <c r="T1" s="190" t="s">
        <v>19</v>
      </c>
      <c r="U1" s="190" t="s">
        <v>20</v>
      </c>
      <c r="V1" s="190" t="s">
        <v>21</v>
      </c>
      <c r="W1" s="190" t="s">
        <v>22</v>
      </c>
      <c r="X1" s="190" t="s">
        <v>23</v>
      </c>
      <c r="Y1" s="211" t="s">
        <v>24</v>
      </c>
      <c r="Z1" s="212" t="s">
        <v>25</v>
      </c>
      <c r="AA1" s="211" t="s">
        <v>26</v>
      </c>
      <c r="AB1" s="194" t="s">
        <v>27</v>
      </c>
      <c r="AC1" s="174" t="s">
        <v>28</v>
      </c>
    </row>
    <row r="2" ht="14.25" hidden="1" spans="1:29">
      <c r="A2" s="181">
        <v>1</v>
      </c>
      <c r="B2" s="181" t="s">
        <v>29</v>
      </c>
      <c r="C2" s="181" t="s">
        <v>30</v>
      </c>
      <c r="D2" s="181" t="s">
        <v>31</v>
      </c>
      <c r="E2" s="206">
        <v>843.64</v>
      </c>
      <c r="F2" s="206">
        <v>843.64</v>
      </c>
      <c r="G2" s="206">
        <v>0</v>
      </c>
      <c r="H2" s="206">
        <v>0</v>
      </c>
      <c r="I2" s="185" t="str">
        <f>IF(E2=0,"完工",IF(J2&gt;0,IF(J2=E2,"完工","在建"),"未开工"))</f>
        <v>完工</v>
      </c>
      <c r="J2" s="208">
        <v>843.64</v>
      </c>
      <c r="K2" s="209" t="str">
        <f>IF(G2=0,"",J2-F2)</f>
        <v/>
      </c>
      <c r="L2" s="186"/>
      <c r="M2" s="210"/>
      <c r="N2" s="210"/>
      <c r="O2" s="181" t="s">
        <v>32</v>
      </c>
      <c r="P2" s="181" t="s">
        <v>33</v>
      </c>
      <c r="Q2" s="181"/>
      <c r="R2" s="186"/>
      <c r="S2" s="193">
        <f t="shared" ref="S2:S65" si="0">E2-F2-G2-H2</f>
        <v>0</v>
      </c>
      <c r="T2" s="193" t="str">
        <f>IF(I2="完工","",J2-F2-K2)</f>
        <v/>
      </c>
      <c r="U2" s="175" t="str">
        <f t="shared" ref="U2:U33" si="1">IF(I2="完工"," ",0)</f>
        <v> </v>
      </c>
      <c r="V2" s="175" t="str">
        <f>IF(I2="完工","",12)</f>
        <v/>
      </c>
      <c r="W2" s="175" t="str">
        <f>IF(I2="完工","",12-U2-V2)</f>
        <v/>
      </c>
      <c r="X2" s="175" t="str">
        <f>IF(I2="完工","",$AB$2-U2)</f>
        <v/>
      </c>
      <c r="Y2" s="195" t="str">
        <f t="shared" ref="Y2:Y14" si="2">IF(I2="完工","",ROUND(X2/W2,3))</f>
        <v/>
      </c>
      <c r="Z2" s="195" t="str">
        <f t="shared" ref="Z2:Z65" si="3">IF(I2="完工","",ROUND(K2/G2,3))</f>
        <v/>
      </c>
      <c r="AA2" s="195" t="str">
        <f t="shared" ref="AA2:AA65" si="4">IF(I2="完工","",Z2-Y2)</f>
        <v/>
      </c>
      <c r="AB2" s="213">
        <v>6.5</v>
      </c>
      <c r="AC2" s="196" t="str">
        <f>IF(E2=0,"",IF(ROUND(J2/E2,3)=1,"",ROUND(J2/E2,3)))</f>
        <v/>
      </c>
    </row>
    <row r="3" hidden="1" spans="1:29">
      <c r="A3" s="181">
        <v>2</v>
      </c>
      <c r="B3" s="181" t="s">
        <v>34</v>
      </c>
      <c r="C3" s="181" t="s">
        <v>30</v>
      </c>
      <c r="D3" s="181" t="s">
        <v>35</v>
      </c>
      <c r="E3" s="206">
        <v>379.4</v>
      </c>
      <c r="F3" s="206">
        <v>379.4</v>
      </c>
      <c r="G3" s="206">
        <v>0</v>
      </c>
      <c r="H3" s="206">
        <v>0</v>
      </c>
      <c r="I3" s="185" t="str">
        <f t="shared" ref="I3:I66" si="5">IF(E3=0,"完工",IF(J3&gt;0,IF(J3=E3,"完工","在建"),"未开工"))</f>
        <v>完工</v>
      </c>
      <c r="J3" s="208">
        <v>379.4</v>
      </c>
      <c r="K3" s="209" t="str">
        <f t="shared" ref="K3:K66" si="6">IF(G3=0,"",J3-F3)</f>
        <v/>
      </c>
      <c r="L3" s="186"/>
      <c r="M3" s="210"/>
      <c r="N3" s="210"/>
      <c r="O3" s="181" t="s">
        <v>32</v>
      </c>
      <c r="P3" s="181" t="s">
        <v>36</v>
      </c>
      <c r="Q3" s="181"/>
      <c r="R3" s="186"/>
      <c r="S3" s="193">
        <f t="shared" si="0"/>
        <v>0</v>
      </c>
      <c r="T3" s="193" t="str">
        <f t="shared" ref="T3:T66" si="7">IF(I3="完工","",J3-F3-K3)</f>
        <v/>
      </c>
      <c r="U3" s="175" t="str">
        <f t="shared" si="1"/>
        <v> </v>
      </c>
      <c r="V3" s="175" t="str">
        <f t="shared" ref="V3:V9" si="8">IF(I3="完工","",12)</f>
        <v/>
      </c>
      <c r="W3" s="175" t="str">
        <f t="shared" ref="W3:W66" si="9">IF(I3="完工","",12-U3-V3)</f>
        <v/>
      </c>
      <c r="X3" s="175" t="str">
        <f t="shared" ref="X3:X66" si="10">IF(I3="完工","",$AB$2-U3)</f>
        <v/>
      </c>
      <c r="Y3" s="195" t="str">
        <f t="shared" si="2"/>
        <v/>
      </c>
      <c r="Z3" s="195" t="str">
        <f t="shared" si="3"/>
        <v/>
      </c>
      <c r="AA3" s="195" t="str">
        <f t="shared" si="4"/>
        <v/>
      </c>
      <c r="AC3" s="196" t="str">
        <f t="shared" ref="AC3:AC66" si="11">IF(E3=0,"",IF(ROUND(J3/E3,3)=1,"",ROUND(J3/E3,3)))</f>
        <v/>
      </c>
    </row>
    <row r="4" hidden="1" spans="1:29">
      <c r="A4" s="181">
        <v>3</v>
      </c>
      <c r="B4" s="181" t="s">
        <v>37</v>
      </c>
      <c r="C4" s="181" t="s">
        <v>30</v>
      </c>
      <c r="D4" s="181" t="s">
        <v>38</v>
      </c>
      <c r="E4" s="206">
        <v>2442.6</v>
      </c>
      <c r="F4" s="206">
        <v>1699.6</v>
      </c>
      <c r="G4" s="206">
        <v>743</v>
      </c>
      <c r="H4" s="206">
        <v>0</v>
      </c>
      <c r="I4" s="185" t="str">
        <f t="shared" si="5"/>
        <v>完工</v>
      </c>
      <c r="J4" s="208">
        <v>2442.6</v>
      </c>
      <c r="K4" s="209">
        <f t="shared" si="6"/>
        <v>743</v>
      </c>
      <c r="L4" s="186"/>
      <c r="M4" s="210"/>
      <c r="N4" s="210"/>
      <c r="O4" s="181" t="s">
        <v>32</v>
      </c>
      <c r="P4" s="181" t="s">
        <v>39</v>
      </c>
      <c r="Q4" s="181"/>
      <c r="R4" s="186"/>
      <c r="S4" s="193">
        <f t="shared" si="0"/>
        <v>0</v>
      </c>
      <c r="T4" s="193" t="str">
        <f t="shared" si="7"/>
        <v/>
      </c>
      <c r="U4" s="175" t="str">
        <f t="shared" si="1"/>
        <v> </v>
      </c>
      <c r="V4" s="175" t="str">
        <f t="shared" si="8"/>
        <v/>
      </c>
      <c r="W4" s="175" t="str">
        <f t="shared" si="9"/>
        <v/>
      </c>
      <c r="X4" s="175" t="str">
        <f t="shared" si="10"/>
        <v/>
      </c>
      <c r="Y4" s="195" t="str">
        <f t="shared" si="2"/>
        <v/>
      </c>
      <c r="Z4" s="195" t="str">
        <f t="shared" si="3"/>
        <v/>
      </c>
      <c r="AA4" s="195" t="str">
        <f t="shared" si="4"/>
        <v/>
      </c>
      <c r="AC4" s="196" t="str">
        <f t="shared" si="11"/>
        <v/>
      </c>
    </row>
    <row r="5" hidden="1" spans="1:29">
      <c r="A5" s="181">
        <v>4</v>
      </c>
      <c r="B5" s="181" t="s">
        <v>40</v>
      </c>
      <c r="C5" s="181" t="s">
        <v>30</v>
      </c>
      <c r="D5" s="181" t="s">
        <v>41</v>
      </c>
      <c r="E5" s="206">
        <v>219.0049</v>
      </c>
      <c r="F5" s="206">
        <v>219.0049</v>
      </c>
      <c r="G5" s="206">
        <v>0</v>
      </c>
      <c r="H5" s="206">
        <v>0</v>
      </c>
      <c r="I5" s="185" t="str">
        <f t="shared" si="5"/>
        <v>完工</v>
      </c>
      <c r="J5" s="208">
        <v>219.0049</v>
      </c>
      <c r="K5" s="209" t="str">
        <f t="shared" si="6"/>
        <v/>
      </c>
      <c r="L5" s="186"/>
      <c r="M5" s="210"/>
      <c r="N5" s="210"/>
      <c r="O5" s="181" t="s">
        <v>32</v>
      </c>
      <c r="P5" s="181" t="s">
        <v>42</v>
      </c>
      <c r="Q5" s="181"/>
      <c r="R5" s="186"/>
      <c r="S5" s="193">
        <f t="shared" si="0"/>
        <v>0</v>
      </c>
      <c r="T5" s="193" t="str">
        <f t="shared" si="7"/>
        <v/>
      </c>
      <c r="U5" s="175" t="str">
        <f t="shared" si="1"/>
        <v> </v>
      </c>
      <c r="V5" s="175" t="str">
        <f t="shared" si="8"/>
        <v/>
      </c>
      <c r="W5" s="175" t="str">
        <f t="shared" si="9"/>
        <v/>
      </c>
      <c r="X5" s="175" t="str">
        <f t="shared" si="10"/>
        <v/>
      </c>
      <c r="Y5" s="195" t="str">
        <f t="shared" si="2"/>
        <v/>
      </c>
      <c r="Z5" s="195" t="str">
        <f t="shared" si="3"/>
        <v/>
      </c>
      <c r="AA5" s="195" t="str">
        <f t="shared" si="4"/>
        <v/>
      </c>
      <c r="AC5" s="196" t="str">
        <f t="shared" si="11"/>
        <v/>
      </c>
    </row>
    <row r="6" hidden="1" spans="1:29">
      <c r="A6" s="181">
        <v>5</v>
      </c>
      <c r="B6" s="181" t="s">
        <v>43</v>
      </c>
      <c r="C6" s="181" t="s">
        <v>30</v>
      </c>
      <c r="D6" s="181" t="s">
        <v>44</v>
      </c>
      <c r="E6" s="206">
        <v>2.7</v>
      </c>
      <c r="F6" s="206">
        <v>2.7</v>
      </c>
      <c r="G6" s="206">
        <v>0</v>
      </c>
      <c r="H6" s="206">
        <v>0</v>
      </c>
      <c r="I6" s="185" t="str">
        <f t="shared" si="5"/>
        <v>完工</v>
      </c>
      <c r="J6" s="208">
        <v>2.7</v>
      </c>
      <c r="K6" s="209" t="str">
        <f t="shared" si="6"/>
        <v/>
      </c>
      <c r="L6" s="186"/>
      <c r="M6" s="210"/>
      <c r="N6" s="210"/>
      <c r="O6" s="181" t="s">
        <v>32</v>
      </c>
      <c r="P6" s="181" t="s">
        <v>45</v>
      </c>
      <c r="Q6" s="181"/>
      <c r="R6" s="186"/>
      <c r="S6" s="193">
        <f t="shared" si="0"/>
        <v>0</v>
      </c>
      <c r="T6" s="193" t="str">
        <f t="shared" si="7"/>
        <v/>
      </c>
      <c r="U6" s="175" t="str">
        <f t="shared" si="1"/>
        <v> </v>
      </c>
      <c r="V6" s="175" t="str">
        <f t="shared" si="8"/>
        <v/>
      </c>
      <c r="W6" s="175" t="str">
        <f t="shared" si="9"/>
        <v/>
      </c>
      <c r="X6" s="175" t="str">
        <f t="shared" si="10"/>
        <v/>
      </c>
      <c r="Y6" s="195" t="str">
        <f t="shared" si="2"/>
        <v/>
      </c>
      <c r="Z6" s="195" t="str">
        <f t="shared" si="3"/>
        <v/>
      </c>
      <c r="AA6" s="195" t="str">
        <f t="shared" si="4"/>
        <v/>
      </c>
      <c r="AC6" s="196" t="str">
        <f t="shared" si="11"/>
        <v/>
      </c>
    </row>
    <row r="7" hidden="1" spans="1:29">
      <c r="A7" s="181">
        <v>6</v>
      </c>
      <c r="B7" s="181" t="s">
        <v>46</v>
      </c>
      <c r="C7" s="181" t="s">
        <v>30</v>
      </c>
      <c r="D7" s="181" t="s">
        <v>47</v>
      </c>
      <c r="E7" s="206">
        <v>76</v>
      </c>
      <c r="F7" s="206">
        <v>76</v>
      </c>
      <c r="G7" s="206">
        <v>0</v>
      </c>
      <c r="H7" s="206">
        <v>0</v>
      </c>
      <c r="I7" s="185" t="str">
        <f t="shared" si="5"/>
        <v>完工</v>
      </c>
      <c r="J7" s="208">
        <v>76</v>
      </c>
      <c r="K7" s="209" t="str">
        <f t="shared" si="6"/>
        <v/>
      </c>
      <c r="L7" s="186"/>
      <c r="M7" s="210"/>
      <c r="N7" s="210"/>
      <c r="O7" s="181" t="s">
        <v>32</v>
      </c>
      <c r="P7" s="181" t="s">
        <v>48</v>
      </c>
      <c r="Q7" s="181"/>
      <c r="R7" s="186"/>
      <c r="S7" s="193">
        <f t="shared" si="0"/>
        <v>0</v>
      </c>
      <c r="T7" s="193" t="str">
        <f t="shared" si="7"/>
        <v/>
      </c>
      <c r="U7" s="175" t="str">
        <f t="shared" si="1"/>
        <v> </v>
      </c>
      <c r="V7" s="175" t="str">
        <f t="shared" si="8"/>
        <v/>
      </c>
      <c r="W7" s="175" t="str">
        <f t="shared" si="9"/>
        <v/>
      </c>
      <c r="X7" s="175" t="str">
        <f t="shared" si="10"/>
        <v/>
      </c>
      <c r="Y7" s="195" t="str">
        <f t="shared" si="2"/>
        <v/>
      </c>
      <c r="Z7" s="195" t="str">
        <f t="shared" si="3"/>
        <v/>
      </c>
      <c r="AA7" s="195" t="str">
        <f t="shared" si="4"/>
        <v/>
      </c>
      <c r="AC7" s="196" t="str">
        <f t="shared" si="11"/>
        <v/>
      </c>
    </row>
    <row r="8" ht="81" customHeight="1" spans="1:29">
      <c r="A8" s="197">
        <v>7</v>
      </c>
      <c r="B8" s="207" t="s">
        <v>49</v>
      </c>
      <c r="C8" s="198" t="s">
        <v>30</v>
      </c>
      <c r="D8" s="198" t="s">
        <v>50</v>
      </c>
      <c r="E8" s="206">
        <v>17.934</v>
      </c>
      <c r="F8" s="206">
        <v>17.934</v>
      </c>
      <c r="G8" s="206">
        <v>0</v>
      </c>
      <c r="H8" s="206">
        <v>0</v>
      </c>
      <c r="I8" s="185" t="str">
        <f t="shared" si="5"/>
        <v>完工</v>
      </c>
      <c r="J8" s="208">
        <v>17.934</v>
      </c>
      <c r="K8" s="209" t="str">
        <f t="shared" si="6"/>
        <v/>
      </c>
      <c r="L8" s="186"/>
      <c r="M8" s="210"/>
      <c r="N8" s="210"/>
      <c r="O8" s="181" t="s">
        <v>32</v>
      </c>
      <c r="P8" s="181" t="s">
        <v>51</v>
      </c>
      <c r="Q8" s="181"/>
      <c r="R8" s="186"/>
      <c r="S8" s="193">
        <f t="shared" si="0"/>
        <v>0</v>
      </c>
      <c r="T8" s="193" t="str">
        <f t="shared" si="7"/>
        <v/>
      </c>
      <c r="U8" s="175" t="str">
        <f t="shared" si="1"/>
        <v> </v>
      </c>
      <c r="V8" s="175" t="str">
        <f t="shared" si="8"/>
        <v/>
      </c>
      <c r="W8" s="175" t="str">
        <f t="shared" si="9"/>
        <v/>
      </c>
      <c r="X8" s="175" t="str">
        <f t="shared" si="10"/>
        <v/>
      </c>
      <c r="Y8" s="195" t="str">
        <f t="shared" si="2"/>
        <v/>
      </c>
      <c r="Z8" s="195" t="str">
        <f t="shared" si="3"/>
        <v/>
      </c>
      <c r="AA8" s="195" t="str">
        <f t="shared" si="4"/>
        <v/>
      </c>
      <c r="AC8" s="196" t="str">
        <f t="shared" si="11"/>
        <v/>
      </c>
    </row>
    <row r="9" hidden="1" spans="1:29">
      <c r="A9" s="181">
        <v>8</v>
      </c>
      <c r="B9" s="181" t="s">
        <v>52</v>
      </c>
      <c r="C9" s="181" t="s">
        <v>30</v>
      </c>
      <c r="D9" s="181" t="s">
        <v>53</v>
      </c>
      <c r="E9" s="206">
        <v>8.6</v>
      </c>
      <c r="F9" s="206">
        <v>8.6</v>
      </c>
      <c r="G9" s="206">
        <v>0</v>
      </c>
      <c r="H9" s="206">
        <v>0</v>
      </c>
      <c r="I9" s="185" t="str">
        <f t="shared" si="5"/>
        <v>完工</v>
      </c>
      <c r="J9" s="208">
        <v>8.6</v>
      </c>
      <c r="K9" s="209" t="str">
        <f t="shared" si="6"/>
        <v/>
      </c>
      <c r="L9" s="186"/>
      <c r="M9" s="210"/>
      <c r="N9" s="210"/>
      <c r="O9" s="181" t="s">
        <v>32</v>
      </c>
      <c r="P9" s="181" t="s">
        <v>45</v>
      </c>
      <c r="Q9" s="181"/>
      <c r="R9" s="186"/>
      <c r="S9" s="193">
        <f t="shared" si="0"/>
        <v>0</v>
      </c>
      <c r="T9" s="193" t="str">
        <f t="shared" si="7"/>
        <v/>
      </c>
      <c r="U9" s="175" t="str">
        <f t="shared" si="1"/>
        <v> </v>
      </c>
      <c r="V9" s="175" t="str">
        <f t="shared" si="8"/>
        <v/>
      </c>
      <c r="W9" s="175" t="str">
        <f t="shared" si="9"/>
        <v/>
      </c>
      <c r="X9" s="175" t="str">
        <f t="shared" si="10"/>
        <v/>
      </c>
      <c r="Y9" s="195" t="str">
        <f t="shared" si="2"/>
        <v/>
      </c>
      <c r="Z9" s="195" t="str">
        <f t="shared" si="3"/>
        <v/>
      </c>
      <c r="AA9" s="195" t="str">
        <f t="shared" si="4"/>
        <v/>
      </c>
      <c r="AC9" s="196" t="str">
        <f t="shared" si="11"/>
        <v/>
      </c>
    </row>
    <row r="10" hidden="1" spans="1:29">
      <c r="A10" s="181">
        <v>9</v>
      </c>
      <c r="B10" s="181" t="s">
        <v>54</v>
      </c>
      <c r="C10" s="181" t="s">
        <v>55</v>
      </c>
      <c r="D10" s="181" t="s">
        <v>56</v>
      </c>
      <c r="E10" s="206">
        <v>20</v>
      </c>
      <c r="F10" s="206">
        <v>20</v>
      </c>
      <c r="G10" s="206">
        <v>0</v>
      </c>
      <c r="H10" s="206">
        <v>0</v>
      </c>
      <c r="I10" s="185" t="str">
        <f t="shared" si="5"/>
        <v>完工</v>
      </c>
      <c r="J10" s="208">
        <v>20</v>
      </c>
      <c r="K10" s="209" t="str">
        <f t="shared" si="6"/>
        <v/>
      </c>
      <c r="L10" s="186"/>
      <c r="M10" s="210">
        <v>44520</v>
      </c>
      <c r="N10" s="210">
        <v>44621</v>
      </c>
      <c r="O10" s="181" t="s">
        <v>57</v>
      </c>
      <c r="P10" s="181" t="s">
        <v>39</v>
      </c>
      <c r="Q10" s="181"/>
      <c r="R10" s="186"/>
      <c r="S10" s="193">
        <f t="shared" si="0"/>
        <v>0</v>
      </c>
      <c r="T10" s="193" t="str">
        <f t="shared" si="7"/>
        <v/>
      </c>
      <c r="U10" s="175" t="str">
        <f t="shared" si="1"/>
        <v> </v>
      </c>
      <c r="V10" s="175" t="str">
        <f>IF(I10="完工","",9)</f>
        <v/>
      </c>
      <c r="W10" s="175" t="str">
        <f t="shared" si="9"/>
        <v/>
      </c>
      <c r="X10" s="175" t="str">
        <f t="shared" si="10"/>
        <v/>
      </c>
      <c r="Y10" s="195" t="str">
        <f t="shared" si="2"/>
        <v/>
      </c>
      <c r="Z10" s="195" t="str">
        <f t="shared" si="3"/>
        <v/>
      </c>
      <c r="AA10" s="195" t="str">
        <f t="shared" si="4"/>
        <v/>
      </c>
      <c r="AC10" s="196" t="str">
        <f t="shared" si="11"/>
        <v/>
      </c>
    </row>
    <row r="11" hidden="1" spans="1:29">
      <c r="A11" s="181">
        <v>10</v>
      </c>
      <c r="B11" s="181" t="s">
        <v>58</v>
      </c>
      <c r="C11" s="181" t="s">
        <v>55</v>
      </c>
      <c r="D11" s="181" t="s">
        <v>59</v>
      </c>
      <c r="E11" s="206">
        <v>50</v>
      </c>
      <c r="F11" s="206">
        <v>50</v>
      </c>
      <c r="G11" s="206">
        <v>0</v>
      </c>
      <c r="H11" s="206">
        <v>0</v>
      </c>
      <c r="I11" s="185" t="str">
        <f t="shared" si="5"/>
        <v>完工</v>
      </c>
      <c r="J11" s="208">
        <v>50</v>
      </c>
      <c r="K11" s="209" t="str">
        <f t="shared" si="6"/>
        <v/>
      </c>
      <c r="L11" s="186"/>
      <c r="M11" s="210">
        <v>44520</v>
      </c>
      <c r="N11" s="210">
        <v>44621</v>
      </c>
      <c r="O11" s="181" t="s">
        <v>57</v>
      </c>
      <c r="P11" s="181" t="s">
        <v>39</v>
      </c>
      <c r="Q11" s="181"/>
      <c r="R11" s="186"/>
      <c r="S11" s="193">
        <f t="shared" si="0"/>
        <v>0</v>
      </c>
      <c r="T11" s="193" t="str">
        <f t="shared" si="7"/>
        <v/>
      </c>
      <c r="U11" s="175" t="str">
        <f t="shared" si="1"/>
        <v> </v>
      </c>
      <c r="V11" s="175" t="str">
        <f t="shared" ref="V11:V12" si="12">IF(I11="完工","",9)</f>
        <v/>
      </c>
      <c r="W11" s="175" t="str">
        <f t="shared" si="9"/>
        <v/>
      </c>
      <c r="X11" s="175" t="str">
        <f t="shared" si="10"/>
        <v/>
      </c>
      <c r="Y11" s="195" t="str">
        <f t="shared" si="2"/>
        <v/>
      </c>
      <c r="Z11" s="195" t="str">
        <f t="shared" si="3"/>
        <v/>
      </c>
      <c r="AA11" s="195" t="str">
        <f t="shared" si="4"/>
        <v/>
      </c>
      <c r="AC11" s="196" t="str">
        <f t="shared" si="11"/>
        <v/>
      </c>
    </row>
    <row r="12" hidden="1" spans="1:29">
      <c r="A12" s="181">
        <v>11</v>
      </c>
      <c r="B12" s="181" t="s">
        <v>60</v>
      </c>
      <c r="C12" s="181" t="s">
        <v>55</v>
      </c>
      <c r="D12" s="181" t="s">
        <v>61</v>
      </c>
      <c r="E12" s="206">
        <v>10</v>
      </c>
      <c r="F12" s="206">
        <v>10</v>
      </c>
      <c r="G12" s="206">
        <v>0</v>
      </c>
      <c r="H12" s="206">
        <v>0</v>
      </c>
      <c r="I12" s="185" t="str">
        <f t="shared" si="5"/>
        <v>完工</v>
      </c>
      <c r="J12" s="208">
        <v>10</v>
      </c>
      <c r="K12" s="209" t="str">
        <f t="shared" si="6"/>
        <v/>
      </c>
      <c r="L12" s="186"/>
      <c r="M12" s="210">
        <v>44520</v>
      </c>
      <c r="N12" s="210">
        <v>44621</v>
      </c>
      <c r="O12" s="181" t="s">
        <v>57</v>
      </c>
      <c r="P12" s="181" t="s">
        <v>39</v>
      </c>
      <c r="Q12" s="181"/>
      <c r="R12" s="186"/>
      <c r="S12" s="193">
        <f t="shared" si="0"/>
        <v>0</v>
      </c>
      <c r="T12" s="193" t="str">
        <f t="shared" si="7"/>
        <v/>
      </c>
      <c r="U12" s="175" t="str">
        <f t="shared" si="1"/>
        <v> </v>
      </c>
      <c r="V12" s="175" t="str">
        <f t="shared" si="12"/>
        <v/>
      </c>
      <c r="W12" s="175" t="str">
        <f t="shared" si="9"/>
        <v/>
      </c>
      <c r="X12" s="175" t="str">
        <f t="shared" si="10"/>
        <v/>
      </c>
      <c r="Y12" s="195" t="str">
        <f t="shared" si="2"/>
        <v/>
      </c>
      <c r="Z12" s="195" t="str">
        <f t="shared" si="3"/>
        <v/>
      </c>
      <c r="AA12" s="195" t="str">
        <f t="shared" si="4"/>
        <v/>
      </c>
      <c r="AC12" s="196" t="str">
        <f t="shared" si="11"/>
        <v/>
      </c>
    </row>
    <row r="13" hidden="1" spans="1:29">
      <c r="A13" s="181">
        <v>12</v>
      </c>
      <c r="B13" s="181" t="s">
        <v>62</v>
      </c>
      <c r="C13" s="181" t="s">
        <v>55</v>
      </c>
      <c r="D13" s="181" t="s">
        <v>63</v>
      </c>
      <c r="E13" s="206">
        <v>816</v>
      </c>
      <c r="F13" s="206">
        <v>50</v>
      </c>
      <c r="G13" s="206">
        <v>766</v>
      </c>
      <c r="H13" s="206">
        <v>0</v>
      </c>
      <c r="I13" s="185" t="str">
        <f t="shared" si="5"/>
        <v>完工</v>
      </c>
      <c r="J13" s="208">
        <v>816</v>
      </c>
      <c r="K13" s="209">
        <f t="shared" si="6"/>
        <v>766</v>
      </c>
      <c r="L13" s="186"/>
      <c r="M13" s="210">
        <v>44571</v>
      </c>
      <c r="N13" s="210">
        <v>44696</v>
      </c>
      <c r="O13" s="181" t="s">
        <v>57</v>
      </c>
      <c r="P13" s="181" t="s">
        <v>39</v>
      </c>
      <c r="Q13" s="181"/>
      <c r="R13" s="186"/>
      <c r="S13" s="193">
        <f t="shared" si="0"/>
        <v>0</v>
      </c>
      <c r="T13" s="193" t="str">
        <f t="shared" si="7"/>
        <v/>
      </c>
      <c r="U13" s="175" t="str">
        <f t="shared" si="1"/>
        <v> </v>
      </c>
      <c r="V13" s="175" t="str">
        <f>IF(I13="完工","",7)</f>
        <v/>
      </c>
      <c r="W13" s="175" t="str">
        <f t="shared" si="9"/>
        <v/>
      </c>
      <c r="X13" s="175" t="str">
        <f t="shared" si="10"/>
        <v/>
      </c>
      <c r="Y13" s="195" t="str">
        <f t="shared" si="2"/>
        <v/>
      </c>
      <c r="Z13" s="195" t="str">
        <f t="shared" si="3"/>
        <v/>
      </c>
      <c r="AA13" s="195" t="str">
        <f t="shared" si="4"/>
        <v/>
      </c>
      <c r="AC13" s="196" t="str">
        <f t="shared" si="11"/>
        <v/>
      </c>
    </row>
    <row r="14" hidden="1" spans="1:29">
      <c r="A14" s="181">
        <v>13</v>
      </c>
      <c r="B14" s="181" t="s">
        <v>64</v>
      </c>
      <c r="C14" s="181" t="s">
        <v>55</v>
      </c>
      <c r="D14" s="181" t="s">
        <v>65</v>
      </c>
      <c r="E14" s="206">
        <v>1113</v>
      </c>
      <c r="F14" s="206">
        <v>0</v>
      </c>
      <c r="G14" s="206">
        <v>1113</v>
      </c>
      <c r="H14" s="206">
        <v>0</v>
      </c>
      <c r="I14" s="185" t="str">
        <f t="shared" si="5"/>
        <v>完工</v>
      </c>
      <c r="J14" s="208">
        <v>1113</v>
      </c>
      <c r="K14" s="209">
        <f t="shared" si="6"/>
        <v>1113</v>
      </c>
      <c r="L14" s="186"/>
      <c r="M14" s="210">
        <v>44581</v>
      </c>
      <c r="N14" s="210">
        <v>44696</v>
      </c>
      <c r="O14" s="181" t="s">
        <v>57</v>
      </c>
      <c r="P14" s="181" t="s">
        <v>66</v>
      </c>
      <c r="Q14" s="181"/>
      <c r="R14" s="186"/>
      <c r="S14" s="193">
        <f t="shared" si="0"/>
        <v>0</v>
      </c>
      <c r="T14" s="193" t="str">
        <f t="shared" si="7"/>
        <v/>
      </c>
      <c r="U14" s="175" t="str">
        <f t="shared" si="1"/>
        <v> </v>
      </c>
      <c r="V14" s="175" t="str">
        <f t="shared" ref="V14:V33" si="13">IF(I14="完工","",7)</f>
        <v/>
      </c>
      <c r="W14" s="175" t="str">
        <f t="shared" si="9"/>
        <v/>
      </c>
      <c r="X14" s="175" t="str">
        <f t="shared" si="10"/>
        <v/>
      </c>
      <c r="Y14" s="195" t="str">
        <f t="shared" si="2"/>
        <v/>
      </c>
      <c r="Z14" s="195" t="str">
        <f t="shared" si="3"/>
        <v/>
      </c>
      <c r="AA14" s="195" t="str">
        <f t="shared" si="4"/>
        <v/>
      </c>
      <c r="AC14" s="196" t="str">
        <f t="shared" si="11"/>
        <v/>
      </c>
    </row>
    <row r="15" hidden="1" spans="1:29">
      <c r="A15" s="181">
        <v>14</v>
      </c>
      <c r="B15" s="181" t="s">
        <v>67</v>
      </c>
      <c r="C15" s="181" t="s">
        <v>55</v>
      </c>
      <c r="D15" s="181" t="s">
        <v>68</v>
      </c>
      <c r="E15" s="206">
        <v>10</v>
      </c>
      <c r="F15" s="206">
        <v>10</v>
      </c>
      <c r="G15" s="206">
        <v>0</v>
      </c>
      <c r="H15" s="206">
        <v>0</v>
      </c>
      <c r="I15" s="185" t="str">
        <f t="shared" si="5"/>
        <v>完工</v>
      </c>
      <c r="J15" s="208">
        <v>10</v>
      </c>
      <c r="K15" s="209" t="str">
        <f t="shared" si="6"/>
        <v/>
      </c>
      <c r="L15" s="186"/>
      <c r="M15" s="210">
        <v>44510</v>
      </c>
      <c r="N15" s="210">
        <v>44696</v>
      </c>
      <c r="O15" s="181" t="s">
        <v>57</v>
      </c>
      <c r="P15" s="181" t="s">
        <v>36</v>
      </c>
      <c r="Q15" s="181"/>
      <c r="R15" s="186"/>
      <c r="S15" s="193">
        <f t="shared" si="0"/>
        <v>0</v>
      </c>
      <c r="T15" s="193" t="str">
        <f t="shared" si="7"/>
        <v/>
      </c>
      <c r="U15" s="175" t="str">
        <f t="shared" si="1"/>
        <v> </v>
      </c>
      <c r="V15" s="175" t="str">
        <f t="shared" si="13"/>
        <v/>
      </c>
      <c r="W15" s="175" t="str">
        <f t="shared" si="9"/>
        <v/>
      </c>
      <c r="X15" s="175" t="str">
        <f t="shared" si="10"/>
        <v/>
      </c>
      <c r="Y15" s="195" t="str">
        <f t="shared" ref="Y15:Y78" si="14">IF(I15="完工","",ROUND(X15/W15,3))</f>
        <v/>
      </c>
      <c r="Z15" s="195" t="str">
        <f t="shared" si="3"/>
        <v/>
      </c>
      <c r="AA15" s="195" t="str">
        <f t="shared" si="4"/>
        <v/>
      </c>
      <c r="AC15" s="196" t="str">
        <f t="shared" si="11"/>
        <v/>
      </c>
    </row>
    <row r="16" hidden="1" spans="1:29">
      <c r="A16" s="181">
        <v>15</v>
      </c>
      <c r="B16" s="181" t="s">
        <v>69</v>
      </c>
      <c r="C16" s="181" t="s">
        <v>55</v>
      </c>
      <c r="D16" s="181" t="s">
        <v>70</v>
      </c>
      <c r="E16" s="206">
        <v>150</v>
      </c>
      <c r="F16" s="206">
        <v>150</v>
      </c>
      <c r="G16" s="206">
        <v>0</v>
      </c>
      <c r="H16" s="206">
        <v>0</v>
      </c>
      <c r="I16" s="185" t="str">
        <f t="shared" si="5"/>
        <v>完工</v>
      </c>
      <c r="J16" s="208">
        <v>150</v>
      </c>
      <c r="K16" s="209" t="str">
        <f t="shared" si="6"/>
        <v/>
      </c>
      <c r="L16" s="186"/>
      <c r="M16" s="210">
        <v>44571</v>
      </c>
      <c r="N16" s="210">
        <v>44696</v>
      </c>
      <c r="O16" s="181" t="s">
        <v>57</v>
      </c>
      <c r="P16" s="181" t="s">
        <v>36</v>
      </c>
      <c r="Q16" s="181"/>
      <c r="R16" s="186"/>
      <c r="S16" s="193">
        <f t="shared" si="0"/>
        <v>0</v>
      </c>
      <c r="T16" s="193" t="str">
        <f t="shared" si="7"/>
        <v/>
      </c>
      <c r="U16" s="175" t="str">
        <f t="shared" si="1"/>
        <v> </v>
      </c>
      <c r="V16" s="175" t="str">
        <f t="shared" si="13"/>
        <v/>
      </c>
      <c r="W16" s="175" t="str">
        <f t="shared" si="9"/>
        <v/>
      </c>
      <c r="X16" s="175" t="str">
        <f t="shared" si="10"/>
        <v/>
      </c>
      <c r="Y16" s="195" t="str">
        <f t="shared" si="14"/>
        <v/>
      </c>
      <c r="Z16" s="195" t="str">
        <f t="shared" si="3"/>
        <v/>
      </c>
      <c r="AA16" s="195" t="str">
        <f t="shared" si="4"/>
        <v/>
      </c>
      <c r="AC16" s="196" t="str">
        <f t="shared" si="11"/>
        <v/>
      </c>
    </row>
    <row r="17" hidden="1" spans="1:29">
      <c r="A17" s="181">
        <v>16</v>
      </c>
      <c r="B17" s="181" t="s">
        <v>71</v>
      </c>
      <c r="C17" s="181" t="s">
        <v>55</v>
      </c>
      <c r="D17" s="181" t="s">
        <v>72</v>
      </c>
      <c r="E17" s="206">
        <v>50</v>
      </c>
      <c r="F17" s="206">
        <v>50</v>
      </c>
      <c r="G17" s="206">
        <v>0</v>
      </c>
      <c r="H17" s="206">
        <v>0</v>
      </c>
      <c r="I17" s="185" t="str">
        <f t="shared" si="5"/>
        <v>完工</v>
      </c>
      <c r="J17" s="208">
        <v>50</v>
      </c>
      <c r="K17" s="209" t="str">
        <f t="shared" si="6"/>
        <v/>
      </c>
      <c r="L17" s="186"/>
      <c r="M17" s="210">
        <v>44520</v>
      </c>
      <c r="N17" s="210">
        <v>44696</v>
      </c>
      <c r="O17" s="181" t="s">
        <v>57</v>
      </c>
      <c r="P17" s="181" t="s">
        <v>36</v>
      </c>
      <c r="Q17" s="181"/>
      <c r="R17" s="186"/>
      <c r="S17" s="193">
        <f t="shared" si="0"/>
        <v>0</v>
      </c>
      <c r="T17" s="193" t="str">
        <f t="shared" si="7"/>
        <v/>
      </c>
      <c r="U17" s="175" t="str">
        <f t="shared" si="1"/>
        <v> </v>
      </c>
      <c r="V17" s="175" t="str">
        <f t="shared" si="13"/>
        <v/>
      </c>
      <c r="W17" s="175" t="str">
        <f t="shared" si="9"/>
        <v/>
      </c>
      <c r="X17" s="175" t="str">
        <f t="shared" si="10"/>
        <v/>
      </c>
      <c r="Y17" s="195" t="str">
        <f t="shared" si="14"/>
        <v/>
      </c>
      <c r="Z17" s="195" t="str">
        <f t="shared" si="3"/>
        <v/>
      </c>
      <c r="AA17" s="195" t="str">
        <f t="shared" si="4"/>
        <v/>
      </c>
      <c r="AC17" s="196" t="str">
        <f t="shared" si="11"/>
        <v/>
      </c>
    </row>
    <row r="18" hidden="1" spans="1:29">
      <c r="A18" s="181">
        <v>17</v>
      </c>
      <c r="B18" s="181" t="s">
        <v>73</v>
      </c>
      <c r="C18" s="181" t="s">
        <v>55</v>
      </c>
      <c r="D18" s="181" t="s">
        <v>74</v>
      </c>
      <c r="E18" s="206">
        <v>50</v>
      </c>
      <c r="F18" s="206">
        <v>50</v>
      </c>
      <c r="G18" s="206">
        <v>0</v>
      </c>
      <c r="H18" s="206">
        <v>0</v>
      </c>
      <c r="I18" s="185" t="str">
        <f t="shared" si="5"/>
        <v>完工</v>
      </c>
      <c r="J18" s="208">
        <v>50</v>
      </c>
      <c r="K18" s="209" t="str">
        <f t="shared" si="6"/>
        <v/>
      </c>
      <c r="L18" s="186"/>
      <c r="M18" s="210">
        <v>44520</v>
      </c>
      <c r="N18" s="210">
        <v>44696</v>
      </c>
      <c r="O18" s="181" t="s">
        <v>57</v>
      </c>
      <c r="P18" s="181" t="s">
        <v>36</v>
      </c>
      <c r="Q18" s="181"/>
      <c r="R18" s="186"/>
      <c r="S18" s="193">
        <f t="shared" si="0"/>
        <v>0</v>
      </c>
      <c r="T18" s="193" t="str">
        <f t="shared" si="7"/>
        <v/>
      </c>
      <c r="U18" s="175" t="str">
        <f t="shared" si="1"/>
        <v> </v>
      </c>
      <c r="V18" s="175" t="str">
        <f t="shared" si="13"/>
        <v/>
      </c>
      <c r="W18" s="175" t="str">
        <f t="shared" si="9"/>
        <v/>
      </c>
      <c r="X18" s="175" t="str">
        <f t="shared" si="10"/>
        <v/>
      </c>
      <c r="Y18" s="195" t="str">
        <f t="shared" si="14"/>
        <v/>
      </c>
      <c r="Z18" s="195" t="str">
        <f t="shared" si="3"/>
        <v/>
      </c>
      <c r="AA18" s="195" t="str">
        <f t="shared" si="4"/>
        <v/>
      </c>
      <c r="AC18" s="196" t="str">
        <f t="shared" si="11"/>
        <v/>
      </c>
    </row>
    <row r="19" hidden="1" spans="1:29">
      <c r="A19" s="181">
        <v>18</v>
      </c>
      <c r="B19" s="181" t="s">
        <v>64</v>
      </c>
      <c r="C19" s="181" t="s">
        <v>55</v>
      </c>
      <c r="D19" s="181" t="s">
        <v>75</v>
      </c>
      <c r="E19" s="206">
        <v>40</v>
      </c>
      <c r="F19" s="206">
        <v>0</v>
      </c>
      <c r="G19" s="206">
        <v>40</v>
      </c>
      <c r="H19" s="206">
        <v>0</v>
      </c>
      <c r="I19" s="185" t="str">
        <f t="shared" si="5"/>
        <v>完工</v>
      </c>
      <c r="J19" s="208">
        <v>40</v>
      </c>
      <c r="K19" s="209">
        <f t="shared" si="6"/>
        <v>40</v>
      </c>
      <c r="L19" s="186"/>
      <c r="M19" s="210">
        <v>44520</v>
      </c>
      <c r="N19" s="210">
        <v>44696</v>
      </c>
      <c r="O19" s="181" t="s">
        <v>57</v>
      </c>
      <c r="P19" s="181" t="s">
        <v>42</v>
      </c>
      <c r="Q19" s="181"/>
      <c r="R19" s="186"/>
      <c r="S19" s="193">
        <f t="shared" si="0"/>
        <v>0</v>
      </c>
      <c r="T19" s="193" t="str">
        <f t="shared" si="7"/>
        <v/>
      </c>
      <c r="U19" s="175" t="str">
        <f t="shared" si="1"/>
        <v> </v>
      </c>
      <c r="V19" s="175" t="str">
        <f t="shared" si="13"/>
        <v/>
      </c>
      <c r="W19" s="175" t="str">
        <f t="shared" si="9"/>
        <v/>
      </c>
      <c r="X19" s="175" t="str">
        <f t="shared" si="10"/>
        <v/>
      </c>
      <c r="Y19" s="195" t="str">
        <f t="shared" si="14"/>
        <v/>
      </c>
      <c r="Z19" s="195" t="str">
        <f t="shared" si="3"/>
        <v/>
      </c>
      <c r="AA19" s="195" t="str">
        <f t="shared" si="4"/>
        <v/>
      </c>
      <c r="AC19" s="196" t="str">
        <f t="shared" si="11"/>
        <v/>
      </c>
    </row>
    <row r="20" hidden="1" spans="1:29">
      <c r="A20" s="181">
        <v>19</v>
      </c>
      <c r="B20" s="181" t="s">
        <v>76</v>
      </c>
      <c r="C20" s="181" t="s">
        <v>55</v>
      </c>
      <c r="D20" s="181" t="s">
        <v>77</v>
      </c>
      <c r="E20" s="206">
        <v>100</v>
      </c>
      <c r="F20" s="206">
        <v>40</v>
      </c>
      <c r="G20" s="206">
        <v>60</v>
      </c>
      <c r="H20" s="206">
        <v>0</v>
      </c>
      <c r="I20" s="185" t="str">
        <f t="shared" si="5"/>
        <v>完工</v>
      </c>
      <c r="J20" s="208">
        <v>100</v>
      </c>
      <c r="K20" s="209">
        <f t="shared" si="6"/>
        <v>60</v>
      </c>
      <c r="L20" s="186"/>
      <c r="M20" s="210">
        <v>44520</v>
      </c>
      <c r="N20" s="210">
        <v>44696</v>
      </c>
      <c r="O20" s="181" t="s">
        <v>57</v>
      </c>
      <c r="P20" s="181" t="s">
        <v>42</v>
      </c>
      <c r="Q20" s="181"/>
      <c r="R20" s="186"/>
      <c r="S20" s="193">
        <f t="shared" si="0"/>
        <v>0</v>
      </c>
      <c r="T20" s="193" t="str">
        <f t="shared" si="7"/>
        <v/>
      </c>
      <c r="U20" s="175" t="str">
        <f t="shared" si="1"/>
        <v> </v>
      </c>
      <c r="V20" s="175" t="str">
        <f t="shared" si="13"/>
        <v/>
      </c>
      <c r="W20" s="175" t="str">
        <f t="shared" si="9"/>
        <v/>
      </c>
      <c r="X20" s="175" t="str">
        <f t="shared" si="10"/>
        <v/>
      </c>
      <c r="Y20" s="195" t="str">
        <f t="shared" si="14"/>
        <v/>
      </c>
      <c r="Z20" s="195" t="str">
        <f t="shared" si="3"/>
        <v/>
      </c>
      <c r="AA20" s="195" t="str">
        <f t="shared" si="4"/>
        <v/>
      </c>
      <c r="AC20" s="196" t="str">
        <f t="shared" si="11"/>
        <v/>
      </c>
    </row>
    <row r="21" hidden="1" spans="1:29">
      <c r="A21" s="181">
        <v>20</v>
      </c>
      <c r="B21" s="181" t="s">
        <v>78</v>
      </c>
      <c r="C21" s="181" t="s">
        <v>55</v>
      </c>
      <c r="D21" s="181" t="s">
        <v>79</v>
      </c>
      <c r="E21" s="206">
        <v>8</v>
      </c>
      <c r="F21" s="206">
        <v>0</v>
      </c>
      <c r="G21" s="206">
        <v>8</v>
      </c>
      <c r="H21" s="206">
        <v>0</v>
      </c>
      <c r="I21" s="185" t="str">
        <f t="shared" si="5"/>
        <v>完工</v>
      </c>
      <c r="J21" s="208">
        <v>8</v>
      </c>
      <c r="K21" s="209">
        <f t="shared" si="6"/>
        <v>8</v>
      </c>
      <c r="L21" s="186"/>
      <c r="M21" s="210">
        <v>44531</v>
      </c>
      <c r="N21" s="210">
        <v>44696</v>
      </c>
      <c r="O21" s="181" t="s">
        <v>57</v>
      </c>
      <c r="P21" s="181" t="s">
        <v>39</v>
      </c>
      <c r="Q21" s="181"/>
      <c r="R21" s="186"/>
      <c r="S21" s="193">
        <f t="shared" si="0"/>
        <v>0</v>
      </c>
      <c r="T21" s="193" t="str">
        <f t="shared" si="7"/>
        <v/>
      </c>
      <c r="U21" s="175" t="str">
        <f t="shared" si="1"/>
        <v> </v>
      </c>
      <c r="V21" s="175" t="str">
        <f t="shared" si="13"/>
        <v/>
      </c>
      <c r="W21" s="175" t="str">
        <f t="shared" si="9"/>
        <v/>
      </c>
      <c r="X21" s="175" t="str">
        <f t="shared" si="10"/>
        <v/>
      </c>
      <c r="Y21" s="195" t="str">
        <f t="shared" si="14"/>
        <v/>
      </c>
      <c r="Z21" s="195" t="str">
        <f t="shared" si="3"/>
        <v/>
      </c>
      <c r="AA21" s="195" t="str">
        <f t="shared" si="4"/>
        <v/>
      </c>
      <c r="AC21" s="196" t="str">
        <f t="shared" si="11"/>
        <v/>
      </c>
    </row>
    <row r="22" hidden="1" spans="1:29">
      <c r="A22" s="181">
        <v>21</v>
      </c>
      <c r="B22" s="181" t="s">
        <v>80</v>
      </c>
      <c r="C22" s="181" t="s">
        <v>55</v>
      </c>
      <c r="D22" s="181" t="s">
        <v>81</v>
      </c>
      <c r="E22" s="206">
        <v>8</v>
      </c>
      <c r="F22" s="206">
        <v>0</v>
      </c>
      <c r="G22" s="206">
        <v>8</v>
      </c>
      <c r="H22" s="206">
        <v>0</v>
      </c>
      <c r="I22" s="185" t="str">
        <f t="shared" si="5"/>
        <v>完工</v>
      </c>
      <c r="J22" s="208">
        <v>8</v>
      </c>
      <c r="K22" s="209">
        <f t="shared" si="6"/>
        <v>8</v>
      </c>
      <c r="L22" s="186"/>
      <c r="M22" s="210">
        <v>44531</v>
      </c>
      <c r="N22" s="210">
        <v>44696</v>
      </c>
      <c r="O22" s="181" t="s">
        <v>57</v>
      </c>
      <c r="P22" s="181" t="s">
        <v>39</v>
      </c>
      <c r="Q22" s="181"/>
      <c r="R22" s="186"/>
      <c r="S22" s="193">
        <f t="shared" si="0"/>
        <v>0</v>
      </c>
      <c r="T22" s="193" t="str">
        <f t="shared" si="7"/>
        <v/>
      </c>
      <c r="U22" s="175" t="str">
        <f t="shared" si="1"/>
        <v> </v>
      </c>
      <c r="V22" s="175" t="str">
        <f t="shared" si="13"/>
        <v/>
      </c>
      <c r="W22" s="175" t="str">
        <f t="shared" si="9"/>
        <v/>
      </c>
      <c r="X22" s="175" t="str">
        <f t="shared" si="10"/>
        <v/>
      </c>
      <c r="Y22" s="195" t="str">
        <f t="shared" si="14"/>
        <v/>
      </c>
      <c r="Z22" s="195" t="str">
        <f t="shared" si="3"/>
        <v/>
      </c>
      <c r="AA22" s="195" t="str">
        <f t="shared" si="4"/>
        <v/>
      </c>
      <c r="AC22" s="196" t="str">
        <f t="shared" si="11"/>
        <v/>
      </c>
    </row>
    <row r="23" hidden="1" spans="1:29">
      <c r="A23" s="181">
        <v>22</v>
      </c>
      <c r="B23" s="181" t="s">
        <v>82</v>
      </c>
      <c r="C23" s="181" t="s">
        <v>55</v>
      </c>
      <c r="D23" s="181" t="s">
        <v>79</v>
      </c>
      <c r="E23" s="206">
        <v>8</v>
      </c>
      <c r="F23" s="206">
        <v>0</v>
      </c>
      <c r="G23" s="206">
        <v>8</v>
      </c>
      <c r="H23" s="206">
        <v>0</v>
      </c>
      <c r="I23" s="185" t="str">
        <f t="shared" si="5"/>
        <v>完工</v>
      </c>
      <c r="J23" s="208">
        <v>8</v>
      </c>
      <c r="K23" s="209">
        <f t="shared" si="6"/>
        <v>8</v>
      </c>
      <c r="L23" s="186"/>
      <c r="M23" s="210">
        <v>44531</v>
      </c>
      <c r="N23" s="210">
        <v>44696</v>
      </c>
      <c r="O23" s="181" t="s">
        <v>57</v>
      </c>
      <c r="P23" s="181" t="s">
        <v>39</v>
      </c>
      <c r="Q23" s="181"/>
      <c r="R23" s="186"/>
      <c r="S23" s="193">
        <f t="shared" si="0"/>
        <v>0</v>
      </c>
      <c r="T23" s="193" t="str">
        <f t="shared" si="7"/>
        <v/>
      </c>
      <c r="U23" s="175" t="str">
        <f t="shared" si="1"/>
        <v> </v>
      </c>
      <c r="V23" s="175" t="str">
        <f t="shared" si="13"/>
        <v/>
      </c>
      <c r="W23" s="175" t="str">
        <f t="shared" si="9"/>
        <v/>
      </c>
      <c r="X23" s="175" t="str">
        <f t="shared" si="10"/>
        <v/>
      </c>
      <c r="Y23" s="195" t="str">
        <f t="shared" si="14"/>
        <v/>
      </c>
      <c r="Z23" s="195" t="str">
        <f t="shared" si="3"/>
        <v/>
      </c>
      <c r="AA23" s="195" t="str">
        <f t="shared" si="4"/>
        <v/>
      </c>
      <c r="AC23" s="196" t="str">
        <f t="shared" si="11"/>
        <v/>
      </c>
    </row>
    <row r="24" hidden="1" spans="1:29">
      <c r="A24" s="181">
        <v>23</v>
      </c>
      <c r="B24" s="181" t="s">
        <v>83</v>
      </c>
      <c r="C24" s="181" t="s">
        <v>55</v>
      </c>
      <c r="D24" s="181" t="s">
        <v>84</v>
      </c>
      <c r="E24" s="206">
        <v>8</v>
      </c>
      <c r="F24" s="206">
        <v>0</v>
      </c>
      <c r="G24" s="206">
        <v>8</v>
      </c>
      <c r="H24" s="206">
        <v>0</v>
      </c>
      <c r="I24" s="185" t="str">
        <f t="shared" si="5"/>
        <v>完工</v>
      </c>
      <c r="J24" s="208">
        <v>8</v>
      </c>
      <c r="K24" s="209">
        <f t="shared" si="6"/>
        <v>8</v>
      </c>
      <c r="L24" s="186"/>
      <c r="M24" s="210">
        <v>44531</v>
      </c>
      <c r="N24" s="210">
        <v>44696</v>
      </c>
      <c r="O24" s="181" t="s">
        <v>57</v>
      </c>
      <c r="P24" s="181" t="s">
        <v>39</v>
      </c>
      <c r="Q24" s="181"/>
      <c r="R24" s="186"/>
      <c r="S24" s="193">
        <f t="shared" si="0"/>
        <v>0</v>
      </c>
      <c r="T24" s="193" t="str">
        <f t="shared" si="7"/>
        <v/>
      </c>
      <c r="U24" s="175" t="str">
        <f t="shared" si="1"/>
        <v> </v>
      </c>
      <c r="V24" s="175" t="str">
        <f t="shared" si="13"/>
        <v/>
      </c>
      <c r="W24" s="175" t="str">
        <f t="shared" si="9"/>
        <v/>
      </c>
      <c r="X24" s="175" t="str">
        <f t="shared" si="10"/>
        <v/>
      </c>
      <c r="Y24" s="195" t="str">
        <f t="shared" si="14"/>
        <v/>
      </c>
      <c r="Z24" s="195" t="str">
        <f t="shared" si="3"/>
        <v/>
      </c>
      <c r="AA24" s="195" t="str">
        <f t="shared" si="4"/>
        <v/>
      </c>
      <c r="AC24" s="196" t="str">
        <f t="shared" si="11"/>
        <v/>
      </c>
    </row>
    <row r="25" hidden="1" spans="1:29">
      <c r="A25" s="181">
        <v>24</v>
      </c>
      <c r="B25" s="181" t="s">
        <v>85</v>
      </c>
      <c r="C25" s="181" t="s">
        <v>55</v>
      </c>
      <c r="D25" s="181" t="s">
        <v>86</v>
      </c>
      <c r="E25" s="206">
        <v>8</v>
      </c>
      <c r="F25" s="206">
        <v>0</v>
      </c>
      <c r="G25" s="206">
        <v>8</v>
      </c>
      <c r="H25" s="206">
        <v>0</v>
      </c>
      <c r="I25" s="185" t="str">
        <f t="shared" si="5"/>
        <v>完工</v>
      </c>
      <c r="J25" s="208">
        <v>8</v>
      </c>
      <c r="K25" s="209">
        <f t="shared" si="6"/>
        <v>8</v>
      </c>
      <c r="L25" s="186"/>
      <c r="M25" s="210">
        <v>44531</v>
      </c>
      <c r="N25" s="210">
        <v>44696</v>
      </c>
      <c r="O25" s="181" t="s">
        <v>57</v>
      </c>
      <c r="P25" s="181" t="s">
        <v>39</v>
      </c>
      <c r="Q25" s="181"/>
      <c r="R25" s="186"/>
      <c r="S25" s="193">
        <f t="shared" si="0"/>
        <v>0</v>
      </c>
      <c r="T25" s="193" t="str">
        <f t="shared" si="7"/>
        <v/>
      </c>
      <c r="U25" s="175" t="str">
        <f t="shared" si="1"/>
        <v> </v>
      </c>
      <c r="V25" s="175" t="str">
        <f t="shared" si="13"/>
        <v/>
      </c>
      <c r="W25" s="175" t="str">
        <f t="shared" si="9"/>
        <v/>
      </c>
      <c r="X25" s="175" t="str">
        <f t="shared" si="10"/>
        <v/>
      </c>
      <c r="Y25" s="195" t="str">
        <f t="shared" si="14"/>
        <v/>
      </c>
      <c r="Z25" s="195" t="str">
        <f t="shared" si="3"/>
        <v/>
      </c>
      <c r="AA25" s="195" t="str">
        <f t="shared" si="4"/>
        <v/>
      </c>
      <c r="AC25" s="196" t="str">
        <f t="shared" si="11"/>
        <v/>
      </c>
    </row>
    <row r="26" hidden="1" spans="1:29">
      <c r="A26" s="181">
        <v>25</v>
      </c>
      <c r="B26" s="181" t="s">
        <v>87</v>
      </c>
      <c r="C26" s="181" t="s">
        <v>55</v>
      </c>
      <c r="D26" s="181" t="s">
        <v>86</v>
      </c>
      <c r="E26" s="206">
        <v>8</v>
      </c>
      <c r="F26" s="206">
        <v>0</v>
      </c>
      <c r="G26" s="206">
        <v>8</v>
      </c>
      <c r="H26" s="206">
        <v>0</v>
      </c>
      <c r="I26" s="185" t="str">
        <f t="shared" si="5"/>
        <v>完工</v>
      </c>
      <c r="J26" s="208">
        <v>8</v>
      </c>
      <c r="K26" s="209">
        <f t="shared" si="6"/>
        <v>8</v>
      </c>
      <c r="L26" s="186"/>
      <c r="M26" s="210">
        <v>44531</v>
      </c>
      <c r="N26" s="210">
        <v>44696</v>
      </c>
      <c r="O26" s="181" t="s">
        <v>57</v>
      </c>
      <c r="P26" s="181" t="s">
        <v>39</v>
      </c>
      <c r="Q26" s="181"/>
      <c r="R26" s="186"/>
      <c r="S26" s="193">
        <f t="shared" si="0"/>
        <v>0</v>
      </c>
      <c r="T26" s="193" t="str">
        <f t="shared" si="7"/>
        <v/>
      </c>
      <c r="U26" s="175" t="str">
        <f t="shared" si="1"/>
        <v> </v>
      </c>
      <c r="V26" s="175" t="str">
        <f t="shared" si="13"/>
        <v/>
      </c>
      <c r="W26" s="175" t="str">
        <f t="shared" si="9"/>
        <v/>
      </c>
      <c r="X26" s="175" t="str">
        <f t="shared" si="10"/>
        <v/>
      </c>
      <c r="Y26" s="195" t="str">
        <f t="shared" si="14"/>
        <v/>
      </c>
      <c r="Z26" s="195" t="str">
        <f t="shared" si="3"/>
        <v/>
      </c>
      <c r="AA26" s="195" t="str">
        <f t="shared" si="4"/>
        <v/>
      </c>
      <c r="AC26" s="196" t="str">
        <f t="shared" si="11"/>
        <v/>
      </c>
    </row>
    <row r="27" hidden="1" spans="1:29">
      <c r="A27" s="181">
        <v>26</v>
      </c>
      <c r="B27" s="181" t="s">
        <v>88</v>
      </c>
      <c r="C27" s="181" t="s">
        <v>55</v>
      </c>
      <c r="D27" s="181" t="s">
        <v>89</v>
      </c>
      <c r="E27" s="206">
        <v>10</v>
      </c>
      <c r="F27" s="206">
        <v>0</v>
      </c>
      <c r="G27" s="206">
        <v>10</v>
      </c>
      <c r="H27" s="206">
        <v>0</v>
      </c>
      <c r="I27" s="185" t="str">
        <f t="shared" si="5"/>
        <v>完工</v>
      </c>
      <c r="J27" s="208">
        <v>10</v>
      </c>
      <c r="K27" s="209">
        <f t="shared" si="6"/>
        <v>10</v>
      </c>
      <c r="L27" s="186"/>
      <c r="M27" s="210">
        <v>44531</v>
      </c>
      <c r="N27" s="210">
        <v>44696</v>
      </c>
      <c r="O27" s="181" t="s">
        <v>57</v>
      </c>
      <c r="P27" s="181" t="s">
        <v>39</v>
      </c>
      <c r="Q27" s="181"/>
      <c r="R27" s="186"/>
      <c r="S27" s="193">
        <f t="shared" si="0"/>
        <v>0</v>
      </c>
      <c r="T27" s="193" t="str">
        <f t="shared" si="7"/>
        <v/>
      </c>
      <c r="U27" s="175" t="str">
        <f t="shared" si="1"/>
        <v> </v>
      </c>
      <c r="V27" s="175" t="str">
        <f t="shared" si="13"/>
        <v/>
      </c>
      <c r="W27" s="175" t="str">
        <f t="shared" si="9"/>
        <v/>
      </c>
      <c r="X27" s="175" t="str">
        <f t="shared" si="10"/>
        <v/>
      </c>
      <c r="Y27" s="195" t="str">
        <f t="shared" si="14"/>
        <v/>
      </c>
      <c r="Z27" s="195" t="str">
        <f t="shared" si="3"/>
        <v/>
      </c>
      <c r="AA27" s="195" t="str">
        <f t="shared" si="4"/>
        <v/>
      </c>
      <c r="AC27" s="196" t="str">
        <f t="shared" si="11"/>
        <v/>
      </c>
    </row>
    <row r="28" hidden="1" spans="1:29">
      <c r="A28" s="181">
        <v>27</v>
      </c>
      <c r="B28" s="181" t="s">
        <v>90</v>
      </c>
      <c r="C28" s="181" t="s">
        <v>55</v>
      </c>
      <c r="D28" s="181" t="s">
        <v>91</v>
      </c>
      <c r="E28" s="206">
        <v>50</v>
      </c>
      <c r="F28" s="206">
        <v>0</v>
      </c>
      <c r="G28" s="206">
        <v>50</v>
      </c>
      <c r="H28" s="206">
        <v>0</v>
      </c>
      <c r="I28" s="185" t="str">
        <f t="shared" si="5"/>
        <v>完工</v>
      </c>
      <c r="J28" s="208">
        <v>50</v>
      </c>
      <c r="K28" s="209">
        <f t="shared" si="6"/>
        <v>50</v>
      </c>
      <c r="L28" s="186"/>
      <c r="M28" s="210">
        <v>44531</v>
      </c>
      <c r="N28" s="210">
        <v>44696</v>
      </c>
      <c r="O28" s="181" t="s">
        <v>57</v>
      </c>
      <c r="P28" s="181" t="s">
        <v>39</v>
      </c>
      <c r="Q28" s="181"/>
      <c r="R28" s="186"/>
      <c r="S28" s="193">
        <f t="shared" si="0"/>
        <v>0</v>
      </c>
      <c r="T28" s="193" t="str">
        <f t="shared" si="7"/>
        <v/>
      </c>
      <c r="U28" s="175" t="str">
        <f t="shared" si="1"/>
        <v> </v>
      </c>
      <c r="V28" s="175" t="str">
        <f t="shared" si="13"/>
        <v/>
      </c>
      <c r="W28" s="175" t="str">
        <f t="shared" si="9"/>
        <v/>
      </c>
      <c r="X28" s="175" t="str">
        <f t="shared" si="10"/>
        <v/>
      </c>
      <c r="Y28" s="195" t="str">
        <f t="shared" si="14"/>
        <v/>
      </c>
      <c r="Z28" s="195" t="str">
        <f t="shared" si="3"/>
        <v/>
      </c>
      <c r="AA28" s="195" t="str">
        <f t="shared" si="4"/>
        <v/>
      </c>
      <c r="AC28" s="196" t="str">
        <f t="shared" si="11"/>
        <v/>
      </c>
    </row>
    <row r="29" hidden="1" spans="1:29">
      <c r="A29" s="181">
        <v>28</v>
      </c>
      <c r="B29" s="181" t="s">
        <v>92</v>
      </c>
      <c r="C29" s="181" t="s">
        <v>55</v>
      </c>
      <c r="D29" s="181" t="s">
        <v>91</v>
      </c>
      <c r="E29" s="206">
        <v>8</v>
      </c>
      <c r="F29" s="206">
        <v>0</v>
      </c>
      <c r="G29" s="206">
        <v>8</v>
      </c>
      <c r="H29" s="206">
        <v>0</v>
      </c>
      <c r="I29" s="185" t="str">
        <f t="shared" si="5"/>
        <v>完工</v>
      </c>
      <c r="J29" s="208">
        <v>8</v>
      </c>
      <c r="K29" s="209">
        <f t="shared" si="6"/>
        <v>8</v>
      </c>
      <c r="L29" s="186"/>
      <c r="M29" s="210">
        <v>44531</v>
      </c>
      <c r="N29" s="210">
        <v>44696</v>
      </c>
      <c r="O29" s="181" t="s">
        <v>57</v>
      </c>
      <c r="P29" s="181" t="s">
        <v>39</v>
      </c>
      <c r="Q29" s="181"/>
      <c r="R29" s="186"/>
      <c r="S29" s="193">
        <f t="shared" si="0"/>
        <v>0</v>
      </c>
      <c r="T29" s="193" t="str">
        <f t="shared" si="7"/>
        <v/>
      </c>
      <c r="U29" s="175" t="str">
        <f t="shared" si="1"/>
        <v> </v>
      </c>
      <c r="V29" s="175" t="str">
        <f t="shared" si="13"/>
        <v/>
      </c>
      <c r="W29" s="175" t="str">
        <f t="shared" si="9"/>
        <v/>
      </c>
      <c r="X29" s="175" t="str">
        <f t="shared" si="10"/>
        <v/>
      </c>
      <c r="Y29" s="195" t="str">
        <f t="shared" si="14"/>
        <v/>
      </c>
      <c r="Z29" s="195" t="str">
        <f t="shared" si="3"/>
        <v/>
      </c>
      <c r="AA29" s="195" t="str">
        <f t="shared" si="4"/>
        <v/>
      </c>
      <c r="AC29" s="196" t="str">
        <f t="shared" si="11"/>
        <v/>
      </c>
    </row>
    <row r="30" hidden="1" spans="1:29">
      <c r="A30" s="181">
        <v>29</v>
      </c>
      <c r="B30" s="181" t="s">
        <v>93</v>
      </c>
      <c r="C30" s="181" t="s">
        <v>55</v>
      </c>
      <c r="D30" s="181" t="s">
        <v>91</v>
      </c>
      <c r="E30" s="206">
        <v>8</v>
      </c>
      <c r="F30" s="206">
        <v>0</v>
      </c>
      <c r="G30" s="206">
        <v>8</v>
      </c>
      <c r="H30" s="206">
        <v>0</v>
      </c>
      <c r="I30" s="185" t="str">
        <f t="shared" si="5"/>
        <v>完工</v>
      </c>
      <c r="J30" s="208">
        <v>8</v>
      </c>
      <c r="K30" s="209">
        <f t="shared" si="6"/>
        <v>8</v>
      </c>
      <c r="L30" s="186"/>
      <c r="M30" s="210">
        <v>44531</v>
      </c>
      <c r="N30" s="210">
        <v>44696</v>
      </c>
      <c r="O30" s="181" t="s">
        <v>57</v>
      </c>
      <c r="P30" s="181" t="s">
        <v>39</v>
      </c>
      <c r="Q30" s="181"/>
      <c r="R30" s="186"/>
      <c r="S30" s="193">
        <f t="shared" si="0"/>
        <v>0</v>
      </c>
      <c r="T30" s="193" t="str">
        <f t="shared" si="7"/>
        <v/>
      </c>
      <c r="U30" s="175" t="str">
        <f t="shared" si="1"/>
        <v> </v>
      </c>
      <c r="V30" s="175" t="str">
        <f t="shared" si="13"/>
        <v/>
      </c>
      <c r="W30" s="175" t="str">
        <f t="shared" si="9"/>
        <v/>
      </c>
      <c r="X30" s="175" t="str">
        <f t="shared" si="10"/>
        <v/>
      </c>
      <c r="Y30" s="195" t="str">
        <f t="shared" si="14"/>
        <v/>
      </c>
      <c r="Z30" s="195" t="str">
        <f t="shared" si="3"/>
        <v/>
      </c>
      <c r="AA30" s="195" t="str">
        <f t="shared" si="4"/>
        <v/>
      </c>
      <c r="AC30" s="196" t="str">
        <f t="shared" si="11"/>
        <v/>
      </c>
    </row>
    <row r="31" hidden="1" spans="1:29">
      <c r="A31" s="181">
        <v>30</v>
      </c>
      <c r="B31" s="181" t="s">
        <v>94</v>
      </c>
      <c r="C31" s="181" t="s">
        <v>55</v>
      </c>
      <c r="D31" s="181" t="s">
        <v>95</v>
      </c>
      <c r="E31" s="206">
        <v>22.5</v>
      </c>
      <c r="F31" s="206">
        <v>22.5</v>
      </c>
      <c r="G31" s="206">
        <v>0</v>
      </c>
      <c r="H31" s="206">
        <v>0</v>
      </c>
      <c r="I31" s="185" t="str">
        <f t="shared" si="5"/>
        <v>完工</v>
      </c>
      <c r="J31" s="208">
        <v>22.5</v>
      </c>
      <c r="K31" s="209" t="str">
        <f t="shared" si="6"/>
        <v/>
      </c>
      <c r="L31" s="186"/>
      <c r="M31" s="210">
        <v>44567</v>
      </c>
      <c r="N31" s="210">
        <v>44696</v>
      </c>
      <c r="O31" s="181" t="s">
        <v>57</v>
      </c>
      <c r="P31" s="181" t="s">
        <v>36</v>
      </c>
      <c r="Q31" s="181"/>
      <c r="R31" s="186"/>
      <c r="S31" s="193">
        <f t="shared" si="0"/>
        <v>0</v>
      </c>
      <c r="T31" s="193" t="str">
        <f t="shared" si="7"/>
        <v/>
      </c>
      <c r="U31" s="175" t="str">
        <f t="shared" si="1"/>
        <v> </v>
      </c>
      <c r="V31" s="175" t="str">
        <f t="shared" si="13"/>
        <v/>
      </c>
      <c r="W31" s="175" t="str">
        <f t="shared" si="9"/>
        <v/>
      </c>
      <c r="X31" s="175" t="str">
        <f t="shared" si="10"/>
        <v/>
      </c>
      <c r="Y31" s="195" t="str">
        <f t="shared" si="14"/>
        <v/>
      </c>
      <c r="Z31" s="195" t="str">
        <f t="shared" si="3"/>
        <v/>
      </c>
      <c r="AA31" s="195" t="str">
        <f t="shared" si="4"/>
        <v/>
      </c>
      <c r="AC31" s="196" t="str">
        <f t="shared" si="11"/>
        <v/>
      </c>
    </row>
    <row r="32" hidden="1" spans="1:29">
      <c r="A32" s="181">
        <v>31</v>
      </c>
      <c r="B32" s="181" t="s">
        <v>96</v>
      </c>
      <c r="C32" s="181" t="s">
        <v>55</v>
      </c>
      <c r="D32" s="181" t="s">
        <v>97</v>
      </c>
      <c r="E32" s="206">
        <v>15</v>
      </c>
      <c r="F32" s="206">
        <v>15</v>
      </c>
      <c r="G32" s="206">
        <v>0</v>
      </c>
      <c r="H32" s="206">
        <v>0</v>
      </c>
      <c r="I32" s="185" t="str">
        <f t="shared" si="5"/>
        <v>完工</v>
      </c>
      <c r="J32" s="208">
        <v>15</v>
      </c>
      <c r="K32" s="209" t="str">
        <f t="shared" si="6"/>
        <v/>
      </c>
      <c r="L32" s="186"/>
      <c r="M32" s="210">
        <v>44567</v>
      </c>
      <c r="N32" s="210">
        <v>44696</v>
      </c>
      <c r="O32" s="181" t="s">
        <v>57</v>
      </c>
      <c r="P32" s="181" t="s">
        <v>36</v>
      </c>
      <c r="Q32" s="181"/>
      <c r="R32" s="186"/>
      <c r="S32" s="193">
        <f t="shared" si="0"/>
        <v>0</v>
      </c>
      <c r="T32" s="193" t="str">
        <f t="shared" si="7"/>
        <v/>
      </c>
      <c r="U32" s="175" t="str">
        <f t="shared" si="1"/>
        <v> </v>
      </c>
      <c r="V32" s="175" t="str">
        <f t="shared" si="13"/>
        <v/>
      </c>
      <c r="W32" s="175" t="str">
        <f t="shared" si="9"/>
        <v/>
      </c>
      <c r="X32" s="175" t="str">
        <f t="shared" si="10"/>
        <v/>
      </c>
      <c r="Y32" s="195" t="str">
        <f t="shared" si="14"/>
        <v/>
      </c>
      <c r="Z32" s="195" t="str">
        <f t="shared" si="3"/>
        <v/>
      </c>
      <c r="AA32" s="195" t="str">
        <f t="shared" si="4"/>
        <v/>
      </c>
      <c r="AC32" s="196" t="str">
        <f t="shared" si="11"/>
        <v/>
      </c>
    </row>
    <row r="33" hidden="1" spans="1:29">
      <c r="A33" s="181">
        <v>32</v>
      </c>
      <c r="B33" s="181" t="s">
        <v>98</v>
      </c>
      <c r="C33" s="181" t="s">
        <v>55</v>
      </c>
      <c r="D33" s="181" t="s">
        <v>99</v>
      </c>
      <c r="E33" s="206">
        <v>1302</v>
      </c>
      <c r="F33" s="206">
        <v>0</v>
      </c>
      <c r="G33" s="206">
        <v>1302</v>
      </c>
      <c r="H33" s="206">
        <v>0</v>
      </c>
      <c r="I33" s="185" t="str">
        <f t="shared" si="5"/>
        <v>完工</v>
      </c>
      <c r="J33" s="208">
        <v>1302</v>
      </c>
      <c r="K33" s="209">
        <f t="shared" si="6"/>
        <v>1302</v>
      </c>
      <c r="L33" s="186"/>
      <c r="M33" s="210">
        <v>44520</v>
      </c>
      <c r="N33" s="210">
        <v>44696</v>
      </c>
      <c r="O33" s="181" t="s">
        <v>57</v>
      </c>
      <c r="P33" s="181" t="s">
        <v>39</v>
      </c>
      <c r="Q33" s="181"/>
      <c r="R33" s="186"/>
      <c r="S33" s="193">
        <f t="shared" si="0"/>
        <v>0</v>
      </c>
      <c r="T33" s="193" t="str">
        <f t="shared" si="7"/>
        <v/>
      </c>
      <c r="U33" s="175" t="str">
        <f t="shared" si="1"/>
        <v> </v>
      </c>
      <c r="V33" s="175" t="str">
        <f t="shared" si="13"/>
        <v/>
      </c>
      <c r="W33" s="175" t="str">
        <f t="shared" si="9"/>
        <v/>
      </c>
      <c r="X33" s="175" t="str">
        <f t="shared" si="10"/>
        <v/>
      </c>
      <c r="Y33" s="195" t="str">
        <f t="shared" si="14"/>
        <v/>
      </c>
      <c r="Z33" s="195" t="str">
        <f t="shared" si="3"/>
        <v/>
      </c>
      <c r="AA33" s="195" t="str">
        <f t="shared" si="4"/>
        <v/>
      </c>
      <c r="AC33" s="196" t="str">
        <f t="shared" si="11"/>
        <v/>
      </c>
    </row>
    <row r="34" hidden="1" spans="1:29">
      <c r="A34" s="181">
        <v>33</v>
      </c>
      <c r="B34" s="181" t="s">
        <v>100</v>
      </c>
      <c r="C34" s="181" t="s">
        <v>55</v>
      </c>
      <c r="D34" s="181" t="s">
        <v>101</v>
      </c>
      <c r="E34" s="206">
        <v>694</v>
      </c>
      <c r="F34" s="206">
        <v>0</v>
      </c>
      <c r="G34" s="206">
        <v>694</v>
      </c>
      <c r="H34" s="206">
        <v>0</v>
      </c>
      <c r="I34" s="185" t="str">
        <f t="shared" si="5"/>
        <v>完工</v>
      </c>
      <c r="J34" s="208">
        <v>694</v>
      </c>
      <c r="K34" s="209">
        <f t="shared" si="6"/>
        <v>694</v>
      </c>
      <c r="L34" s="186"/>
      <c r="M34" s="210">
        <v>44520</v>
      </c>
      <c r="N34" s="210">
        <v>44681</v>
      </c>
      <c r="O34" s="181" t="s">
        <v>57</v>
      </c>
      <c r="P34" s="181" t="s">
        <v>39</v>
      </c>
      <c r="Q34" s="181"/>
      <c r="R34" s="186"/>
      <c r="S34" s="193">
        <f t="shared" si="0"/>
        <v>0</v>
      </c>
      <c r="T34" s="193" t="str">
        <f t="shared" si="7"/>
        <v/>
      </c>
      <c r="U34" s="175" t="str">
        <f t="shared" ref="U34:U50" si="15">IF(I34="完工"," ",0)</f>
        <v> </v>
      </c>
      <c r="V34" s="175" t="str">
        <f>IF(I34="完工","",8)</f>
        <v/>
      </c>
      <c r="W34" s="175" t="str">
        <f t="shared" si="9"/>
        <v/>
      </c>
      <c r="X34" s="175" t="str">
        <f t="shared" si="10"/>
        <v/>
      </c>
      <c r="Y34" s="195" t="str">
        <f t="shared" si="14"/>
        <v/>
      </c>
      <c r="Z34" s="195" t="str">
        <f t="shared" si="3"/>
        <v/>
      </c>
      <c r="AA34" s="195" t="str">
        <f t="shared" si="4"/>
        <v/>
      </c>
      <c r="AC34" s="196" t="str">
        <f t="shared" si="11"/>
        <v/>
      </c>
    </row>
    <row r="35" hidden="1" spans="1:29">
      <c r="A35" s="181">
        <v>34</v>
      </c>
      <c r="B35" s="181" t="s">
        <v>102</v>
      </c>
      <c r="C35" s="181" t="s">
        <v>55</v>
      </c>
      <c r="D35" s="181" t="s">
        <v>103</v>
      </c>
      <c r="E35" s="206">
        <v>268</v>
      </c>
      <c r="F35" s="206">
        <v>0</v>
      </c>
      <c r="G35" s="206">
        <v>268</v>
      </c>
      <c r="H35" s="206">
        <v>0</v>
      </c>
      <c r="I35" s="185" t="str">
        <f t="shared" si="5"/>
        <v>完工</v>
      </c>
      <c r="J35" s="208">
        <v>268</v>
      </c>
      <c r="K35" s="209">
        <f t="shared" si="6"/>
        <v>268</v>
      </c>
      <c r="L35" s="186"/>
      <c r="M35" s="210">
        <v>44520</v>
      </c>
      <c r="N35" s="210">
        <v>44681</v>
      </c>
      <c r="O35" s="181" t="s">
        <v>57</v>
      </c>
      <c r="P35" s="181" t="s">
        <v>39</v>
      </c>
      <c r="Q35" s="181"/>
      <c r="R35" s="186"/>
      <c r="S35" s="193">
        <f t="shared" si="0"/>
        <v>0</v>
      </c>
      <c r="T35" s="193" t="str">
        <f t="shared" si="7"/>
        <v/>
      </c>
      <c r="U35" s="175" t="str">
        <f t="shared" si="15"/>
        <v> </v>
      </c>
      <c r="V35" s="175" t="str">
        <f t="shared" ref="V35:V38" si="16">IF(I35="完工","",8)</f>
        <v/>
      </c>
      <c r="W35" s="175" t="str">
        <f t="shared" si="9"/>
        <v/>
      </c>
      <c r="X35" s="175" t="str">
        <f t="shared" si="10"/>
        <v/>
      </c>
      <c r="Y35" s="195" t="str">
        <f t="shared" si="14"/>
        <v/>
      </c>
      <c r="Z35" s="195" t="str">
        <f t="shared" si="3"/>
        <v/>
      </c>
      <c r="AA35" s="195" t="str">
        <f t="shared" si="4"/>
        <v/>
      </c>
      <c r="AC35" s="196" t="str">
        <f t="shared" si="11"/>
        <v/>
      </c>
    </row>
    <row r="36" hidden="1" spans="1:29">
      <c r="A36" s="181">
        <v>35</v>
      </c>
      <c r="B36" s="181" t="s">
        <v>104</v>
      </c>
      <c r="C36" s="181" t="s">
        <v>55</v>
      </c>
      <c r="D36" s="181" t="s">
        <v>105</v>
      </c>
      <c r="E36" s="206">
        <v>359</v>
      </c>
      <c r="F36" s="206">
        <v>0</v>
      </c>
      <c r="G36" s="206">
        <v>359</v>
      </c>
      <c r="H36" s="206">
        <v>0</v>
      </c>
      <c r="I36" s="185" t="str">
        <f t="shared" si="5"/>
        <v>完工</v>
      </c>
      <c r="J36" s="208">
        <v>359</v>
      </c>
      <c r="K36" s="209">
        <f t="shared" si="6"/>
        <v>359</v>
      </c>
      <c r="L36" s="186"/>
      <c r="M36" s="210">
        <v>44542</v>
      </c>
      <c r="N36" s="210">
        <v>44681</v>
      </c>
      <c r="O36" s="181" t="s">
        <v>57</v>
      </c>
      <c r="P36" s="181" t="s">
        <v>39</v>
      </c>
      <c r="Q36" s="181"/>
      <c r="R36" s="186"/>
      <c r="S36" s="193">
        <f t="shared" si="0"/>
        <v>0</v>
      </c>
      <c r="T36" s="193" t="str">
        <f t="shared" si="7"/>
        <v/>
      </c>
      <c r="U36" s="175" t="str">
        <f t="shared" si="15"/>
        <v> </v>
      </c>
      <c r="V36" s="175" t="str">
        <f t="shared" si="16"/>
        <v/>
      </c>
      <c r="W36" s="175" t="str">
        <f t="shared" si="9"/>
        <v/>
      </c>
      <c r="X36" s="175" t="str">
        <f t="shared" si="10"/>
        <v/>
      </c>
      <c r="Y36" s="195" t="str">
        <f t="shared" si="14"/>
        <v/>
      </c>
      <c r="Z36" s="195" t="str">
        <f t="shared" si="3"/>
        <v/>
      </c>
      <c r="AA36" s="195" t="str">
        <f t="shared" si="4"/>
        <v/>
      </c>
      <c r="AC36" s="196" t="str">
        <f t="shared" si="11"/>
        <v/>
      </c>
    </row>
    <row r="37" hidden="1" spans="1:29">
      <c r="A37" s="181">
        <v>36</v>
      </c>
      <c r="B37" s="181" t="s">
        <v>106</v>
      </c>
      <c r="C37" s="181" t="s">
        <v>55</v>
      </c>
      <c r="D37" s="181" t="s">
        <v>107</v>
      </c>
      <c r="E37" s="206">
        <v>88</v>
      </c>
      <c r="F37" s="206">
        <v>0</v>
      </c>
      <c r="G37" s="206">
        <v>88</v>
      </c>
      <c r="H37" s="206">
        <v>0</v>
      </c>
      <c r="I37" s="185" t="str">
        <f t="shared" si="5"/>
        <v>完工</v>
      </c>
      <c r="J37" s="208">
        <v>88</v>
      </c>
      <c r="K37" s="209">
        <f t="shared" si="6"/>
        <v>88</v>
      </c>
      <c r="L37" s="186"/>
      <c r="M37" s="210">
        <v>44540</v>
      </c>
      <c r="N37" s="210">
        <v>44681</v>
      </c>
      <c r="O37" s="181" t="s">
        <v>57</v>
      </c>
      <c r="P37" s="181" t="s">
        <v>39</v>
      </c>
      <c r="Q37" s="181"/>
      <c r="R37" s="186"/>
      <c r="S37" s="193">
        <f t="shared" si="0"/>
        <v>0</v>
      </c>
      <c r="T37" s="193" t="str">
        <f t="shared" si="7"/>
        <v/>
      </c>
      <c r="U37" s="175" t="str">
        <f t="shared" si="15"/>
        <v> </v>
      </c>
      <c r="V37" s="175" t="str">
        <f t="shared" si="16"/>
        <v/>
      </c>
      <c r="W37" s="175" t="str">
        <f t="shared" si="9"/>
        <v/>
      </c>
      <c r="X37" s="175" t="str">
        <f t="shared" si="10"/>
        <v/>
      </c>
      <c r="Y37" s="195" t="str">
        <f t="shared" si="14"/>
        <v/>
      </c>
      <c r="Z37" s="195" t="str">
        <f t="shared" si="3"/>
        <v/>
      </c>
      <c r="AA37" s="195" t="str">
        <f t="shared" si="4"/>
        <v/>
      </c>
      <c r="AC37" s="196" t="str">
        <f t="shared" si="11"/>
        <v/>
      </c>
    </row>
    <row r="38" hidden="1" spans="1:29">
      <c r="A38" s="181">
        <v>37</v>
      </c>
      <c r="B38" s="181" t="s">
        <v>108</v>
      </c>
      <c r="C38" s="181" t="s">
        <v>55</v>
      </c>
      <c r="D38" s="181" t="s">
        <v>109</v>
      </c>
      <c r="E38" s="206">
        <v>559</v>
      </c>
      <c r="F38" s="206">
        <v>0</v>
      </c>
      <c r="G38" s="206">
        <v>559</v>
      </c>
      <c r="H38" s="206">
        <v>0</v>
      </c>
      <c r="I38" s="185" t="str">
        <f t="shared" si="5"/>
        <v>完工</v>
      </c>
      <c r="J38" s="208">
        <v>559</v>
      </c>
      <c r="K38" s="209">
        <f t="shared" si="6"/>
        <v>559</v>
      </c>
      <c r="L38" s="186"/>
      <c r="M38" s="210">
        <v>44510</v>
      </c>
      <c r="N38" s="210">
        <v>44681</v>
      </c>
      <c r="O38" s="181" t="s">
        <v>57</v>
      </c>
      <c r="P38" s="181" t="s">
        <v>39</v>
      </c>
      <c r="Q38" s="181"/>
      <c r="R38" s="186"/>
      <c r="S38" s="193">
        <f t="shared" si="0"/>
        <v>0</v>
      </c>
      <c r="T38" s="193" t="str">
        <f t="shared" si="7"/>
        <v/>
      </c>
      <c r="U38" s="175" t="str">
        <f t="shared" si="15"/>
        <v> </v>
      </c>
      <c r="V38" s="175" t="str">
        <f t="shared" si="16"/>
        <v/>
      </c>
      <c r="W38" s="175" t="str">
        <f t="shared" si="9"/>
        <v/>
      </c>
      <c r="X38" s="175" t="str">
        <f t="shared" si="10"/>
        <v/>
      </c>
      <c r="Y38" s="195" t="str">
        <f t="shared" si="14"/>
        <v/>
      </c>
      <c r="Z38" s="195" t="str">
        <f t="shared" si="3"/>
        <v/>
      </c>
      <c r="AA38" s="195" t="str">
        <f t="shared" si="4"/>
        <v/>
      </c>
      <c r="AC38" s="196" t="str">
        <f t="shared" si="11"/>
        <v/>
      </c>
    </row>
    <row r="39" hidden="1" spans="1:29">
      <c r="A39" s="181">
        <v>38</v>
      </c>
      <c r="B39" s="181" t="s">
        <v>110</v>
      </c>
      <c r="C39" s="181" t="s">
        <v>55</v>
      </c>
      <c r="D39" s="181" t="s">
        <v>111</v>
      </c>
      <c r="E39" s="206">
        <v>847.5</v>
      </c>
      <c r="F39" s="206">
        <v>0</v>
      </c>
      <c r="G39" s="206">
        <v>847.5</v>
      </c>
      <c r="H39" s="206">
        <v>0</v>
      </c>
      <c r="I39" s="185" t="str">
        <f t="shared" si="5"/>
        <v>完工</v>
      </c>
      <c r="J39" s="208">
        <v>847.5</v>
      </c>
      <c r="K39" s="209">
        <f t="shared" si="6"/>
        <v>847.5</v>
      </c>
      <c r="L39" s="186"/>
      <c r="M39" s="210">
        <v>44553</v>
      </c>
      <c r="N39" s="210">
        <v>44682</v>
      </c>
      <c r="O39" s="181" t="s">
        <v>57</v>
      </c>
      <c r="P39" s="181" t="s">
        <v>42</v>
      </c>
      <c r="Q39" s="181"/>
      <c r="R39" s="186"/>
      <c r="S39" s="193">
        <f t="shared" si="0"/>
        <v>0</v>
      </c>
      <c r="T39" s="193" t="str">
        <f t="shared" si="7"/>
        <v/>
      </c>
      <c r="U39" s="175" t="str">
        <f t="shared" si="15"/>
        <v> </v>
      </c>
      <c r="V39" s="175" t="str">
        <f t="shared" ref="V39:V41" si="17">IF(I39="完工","",7)</f>
        <v/>
      </c>
      <c r="W39" s="175" t="str">
        <f t="shared" si="9"/>
        <v/>
      </c>
      <c r="X39" s="175" t="str">
        <f t="shared" si="10"/>
        <v/>
      </c>
      <c r="Y39" s="195" t="str">
        <f t="shared" si="14"/>
        <v/>
      </c>
      <c r="Z39" s="195" t="str">
        <f t="shared" si="3"/>
        <v/>
      </c>
      <c r="AA39" s="195" t="str">
        <f t="shared" si="4"/>
        <v/>
      </c>
      <c r="AC39" s="196" t="str">
        <f t="shared" si="11"/>
        <v/>
      </c>
    </row>
    <row r="40" hidden="1" spans="1:29">
      <c r="A40" s="181">
        <v>39</v>
      </c>
      <c r="B40" s="181" t="s">
        <v>112</v>
      </c>
      <c r="C40" s="181" t="s">
        <v>55</v>
      </c>
      <c r="D40" s="181" t="s">
        <v>113</v>
      </c>
      <c r="E40" s="206">
        <v>368</v>
      </c>
      <c r="F40" s="206">
        <v>0</v>
      </c>
      <c r="G40" s="206">
        <v>368</v>
      </c>
      <c r="H40" s="206">
        <v>0</v>
      </c>
      <c r="I40" s="185" t="str">
        <f t="shared" si="5"/>
        <v>完工</v>
      </c>
      <c r="J40" s="208">
        <v>368</v>
      </c>
      <c r="K40" s="209">
        <f t="shared" si="6"/>
        <v>368</v>
      </c>
      <c r="L40" s="186"/>
      <c r="M40" s="210">
        <v>44553</v>
      </c>
      <c r="N40" s="210">
        <v>44682</v>
      </c>
      <c r="O40" s="181" t="s">
        <v>57</v>
      </c>
      <c r="P40" s="181" t="s">
        <v>42</v>
      </c>
      <c r="Q40" s="181"/>
      <c r="R40" s="186"/>
      <c r="S40" s="193">
        <f t="shared" si="0"/>
        <v>0</v>
      </c>
      <c r="T40" s="193" t="str">
        <f t="shared" si="7"/>
        <v/>
      </c>
      <c r="U40" s="175" t="str">
        <f t="shared" si="15"/>
        <v> </v>
      </c>
      <c r="V40" s="175" t="str">
        <f t="shared" si="17"/>
        <v/>
      </c>
      <c r="W40" s="175" t="str">
        <f t="shared" si="9"/>
        <v/>
      </c>
      <c r="X40" s="175" t="str">
        <f t="shared" si="10"/>
        <v/>
      </c>
      <c r="Y40" s="195" t="str">
        <f t="shared" si="14"/>
        <v/>
      </c>
      <c r="Z40" s="195" t="str">
        <f t="shared" si="3"/>
        <v/>
      </c>
      <c r="AA40" s="195" t="str">
        <f t="shared" si="4"/>
        <v/>
      </c>
      <c r="AC40" s="196" t="str">
        <f t="shared" si="11"/>
        <v/>
      </c>
    </row>
    <row r="41" hidden="1" spans="1:29">
      <c r="A41" s="181">
        <v>40</v>
      </c>
      <c r="B41" s="181" t="s">
        <v>114</v>
      </c>
      <c r="C41" s="181" t="s">
        <v>55</v>
      </c>
      <c r="D41" s="181" t="s">
        <v>115</v>
      </c>
      <c r="E41" s="206">
        <v>166</v>
      </c>
      <c r="F41" s="206">
        <v>0</v>
      </c>
      <c r="G41" s="206">
        <v>166</v>
      </c>
      <c r="H41" s="206">
        <v>0</v>
      </c>
      <c r="I41" s="185" t="str">
        <f t="shared" si="5"/>
        <v>完工</v>
      </c>
      <c r="J41" s="208">
        <v>166</v>
      </c>
      <c r="K41" s="209">
        <f t="shared" si="6"/>
        <v>166</v>
      </c>
      <c r="L41" s="186"/>
      <c r="M41" s="210">
        <v>44553</v>
      </c>
      <c r="N41" s="210">
        <v>44682</v>
      </c>
      <c r="O41" s="181" t="s">
        <v>57</v>
      </c>
      <c r="P41" s="181" t="s">
        <v>42</v>
      </c>
      <c r="Q41" s="181"/>
      <c r="R41" s="186"/>
      <c r="S41" s="193">
        <f t="shared" si="0"/>
        <v>0</v>
      </c>
      <c r="T41" s="193" t="str">
        <f t="shared" si="7"/>
        <v/>
      </c>
      <c r="U41" s="175" t="str">
        <f t="shared" si="15"/>
        <v> </v>
      </c>
      <c r="V41" s="175" t="str">
        <f t="shared" si="17"/>
        <v/>
      </c>
      <c r="W41" s="175" t="str">
        <f t="shared" si="9"/>
        <v/>
      </c>
      <c r="X41" s="175" t="str">
        <f t="shared" si="10"/>
        <v/>
      </c>
      <c r="Y41" s="195" t="str">
        <f t="shared" si="14"/>
        <v/>
      </c>
      <c r="Z41" s="195" t="str">
        <f t="shared" si="3"/>
        <v/>
      </c>
      <c r="AA41" s="195" t="str">
        <f t="shared" si="4"/>
        <v/>
      </c>
      <c r="AC41" s="196" t="str">
        <f t="shared" si="11"/>
        <v/>
      </c>
    </row>
    <row r="42" hidden="1" spans="1:29">
      <c r="A42" s="181">
        <v>41</v>
      </c>
      <c r="B42" s="181" t="s">
        <v>116</v>
      </c>
      <c r="C42" s="181" t="s">
        <v>55</v>
      </c>
      <c r="D42" s="181" t="s">
        <v>117</v>
      </c>
      <c r="E42" s="206">
        <v>22.8</v>
      </c>
      <c r="F42" s="206">
        <v>0</v>
      </c>
      <c r="G42" s="206">
        <v>22.8</v>
      </c>
      <c r="H42" s="206">
        <v>0</v>
      </c>
      <c r="I42" s="185" t="str">
        <f t="shared" si="5"/>
        <v>完工</v>
      </c>
      <c r="J42" s="208">
        <v>22.8</v>
      </c>
      <c r="K42" s="209">
        <f t="shared" si="6"/>
        <v>22.8</v>
      </c>
      <c r="L42" s="186"/>
      <c r="M42" s="210">
        <v>44555</v>
      </c>
      <c r="N42" s="210">
        <v>44676</v>
      </c>
      <c r="O42" s="181" t="s">
        <v>57</v>
      </c>
      <c r="P42" s="181" t="s">
        <v>39</v>
      </c>
      <c r="Q42" s="181"/>
      <c r="R42" s="186"/>
      <c r="S42" s="193">
        <f t="shared" si="0"/>
        <v>0</v>
      </c>
      <c r="T42" s="193" t="str">
        <f t="shared" si="7"/>
        <v/>
      </c>
      <c r="U42" s="175" t="str">
        <f t="shared" si="15"/>
        <v> </v>
      </c>
      <c r="V42" s="175" t="str">
        <f t="shared" ref="V42:V47" si="18">IF(I42="完工","",8)</f>
        <v/>
      </c>
      <c r="W42" s="175" t="str">
        <f t="shared" si="9"/>
        <v/>
      </c>
      <c r="X42" s="175" t="str">
        <f t="shared" si="10"/>
        <v/>
      </c>
      <c r="Y42" s="195" t="str">
        <f t="shared" si="14"/>
        <v/>
      </c>
      <c r="Z42" s="195" t="str">
        <f t="shared" si="3"/>
        <v/>
      </c>
      <c r="AA42" s="195" t="str">
        <f t="shared" si="4"/>
        <v/>
      </c>
      <c r="AC42" s="196" t="str">
        <f t="shared" si="11"/>
        <v/>
      </c>
    </row>
    <row r="43" hidden="1" spans="1:29">
      <c r="A43" s="181">
        <v>42</v>
      </c>
      <c r="B43" s="181" t="s">
        <v>118</v>
      </c>
      <c r="C43" s="181" t="s">
        <v>55</v>
      </c>
      <c r="D43" s="181" t="s">
        <v>119</v>
      </c>
      <c r="E43" s="206">
        <v>40</v>
      </c>
      <c r="F43" s="206">
        <v>0</v>
      </c>
      <c r="G43" s="206">
        <v>40</v>
      </c>
      <c r="H43" s="206">
        <v>0</v>
      </c>
      <c r="I43" s="185" t="str">
        <f t="shared" si="5"/>
        <v>完工</v>
      </c>
      <c r="J43" s="208">
        <v>40</v>
      </c>
      <c r="K43" s="209">
        <f t="shared" si="6"/>
        <v>40</v>
      </c>
      <c r="L43" s="186"/>
      <c r="M43" s="210">
        <v>44555</v>
      </c>
      <c r="N43" s="210">
        <v>44676</v>
      </c>
      <c r="O43" s="181" t="s">
        <v>57</v>
      </c>
      <c r="P43" s="181" t="s">
        <v>39</v>
      </c>
      <c r="Q43" s="181"/>
      <c r="R43" s="186"/>
      <c r="S43" s="193">
        <f t="shared" si="0"/>
        <v>0</v>
      </c>
      <c r="T43" s="193" t="str">
        <f t="shared" si="7"/>
        <v/>
      </c>
      <c r="U43" s="175" t="str">
        <f t="shared" si="15"/>
        <v> </v>
      </c>
      <c r="V43" s="175" t="str">
        <f t="shared" si="18"/>
        <v/>
      </c>
      <c r="W43" s="175" t="str">
        <f t="shared" si="9"/>
        <v/>
      </c>
      <c r="X43" s="175" t="str">
        <f t="shared" si="10"/>
        <v/>
      </c>
      <c r="Y43" s="195" t="str">
        <f t="shared" si="14"/>
        <v/>
      </c>
      <c r="Z43" s="195" t="str">
        <f t="shared" si="3"/>
        <v/>
      </c>
      <c r="AA43" s="195" t="str">
        <f t="shared" si="4"/>
        <v/>
      </c>
      <c r="AC43" s="196" t="str">
        <f t="shared" si="11"/>
        <v/>
      </c>
    </row>
    <row r="44" hidden="1" spans="1:29">
      <c r="A44" s="181">
        <v>43</v>
      </c>
      <c r="B44" s="181" t="s">
        <v>120</v>
      </c>
      <c r="C44" s="181" t="s">
        <v>55</v>
      </c>
      <c r="D44" s="181" t="s">
        <v>121</v>
      </c>
      <c r="E44" s="206">
        <v>72.2</v>
      </c>
      <c r="F44" s="206">
        <v>0</v>
      </c>
      <c r="G44" s="206">
        <v>72.2</v>
      </c>
      <c r="H44" s="206">
        <v>0</v>
      </c>
      <c r="I44" s="185" t="str">
        <f t="shared" si="5"/>
        <v>完工</v>
      </c>
      <c r="J44" s="208">
        <v>72.2</v>
      </c>
      <c r="K44" s="209">
        <f t="shared" si="6"/>
        <v>72.2</v>
      </c>
      <c r="L44" s="186"/>
      <c r="M44" s="210">
        <v>44555</v>
      </c>
      <c r="N44" s="210">
        <v>44676</v>
      </c>
      <c r="O44" s="181" t="s">
        <v>57</v>
      </c>
      <c r="P44" s="181" t="s">
        <v>39</v>
      </c>
      <c r="Q44" s="181"/>
      <c r="R44" s="186"/>
      <c r="S44" s="193">
        <f t="shared" si="0"/>
        <v>0</v>
      </c>
      <c r="T44" s="193" t="str">
        <f t="shared" si="7"/>
        <v/>
      </c>
      <c r="U44" s="175" t="str">
        <f t="shared" si="15"/>
        <v> </v>
      </c>
      <c r="V44" s="175" t="str">
        <f t="shared" si="18"/>
        <v/>
      </c>
      <c r="W44" s="175" t="str">
        <f t="shared" si="9"/>
        <v/>
      </c>
      <c r="X44" s="175" t="str">
        <f t="shared" si="10"/>
        <v/>
      </c>
      <c r="Y44" s="195" t="str">
        <f t="shared" si="14"/>
        <v/>
      </c>
      <c r="Z44" s="195" t="str">
        <f t="shared" si="3"/>
        <v/>
      </c>
      <c r="AA44" s="195" t="str">
        <f t="shared" si="4"/>
        <v/>
      </c>
      <c r="AC44" s="196" t="str">
        <f t="shared" si="11"/>
        <v/>
      </c>
    </row>
    <row r="45" hidden="1" spans="1:29">
      <c r="A45" s="181">
        <v>44</v>
      </c>
      <c r="B45" s="181" t="s">
        <v>122</v>
      </c>
      <c r="C45" s="181" t="s">
        <v>55</v>
      </c>
      <c r="D45" s="181" t="s">
        <v>123</v>
      </c>
      <c r="E45" s="206">
        <v>40</v>
      </c>
      <c r="F45" s="206">
        <v>40</v>
      </c>
      <c r="G45" s="206">
        <v>0</v>
      </c>
      <c r="H45" s="206">
        <v>0</v>
      </c>
      <c r="I45" s="185" t="str">
        <f t="shared" si="5"/>
        <v>完工</v>
      </c>
      <c r="J45" s="208">
        <v>40</v>
      </c>
      <c r="K45" s="209" t="str">
        <f t="shared" si="6"/>
        <v/>
      </c>
      <c r="L45" s="186"/>
      <c r="M45" s="210">
        <v>44555</v>
      </c>
      <c r="N45" s="210">
        <v>44676</v>
      </c>
      <c r="O45" s="181" t="s">
        <v>57</v>
      </c>
      <c r="P45" s="181" t="s">
        <v>39</v>
      </c>
      <c r="Q45" s="181"/>
      <c r="R45" s="186"/>
      <c r="S45" s="193">
        <f t="shared" si="0"/>
        <v>0</v>
      </c>
      <c r="T45" s="193" t="str">
        <f t="shared" si="7"/>
        <v/>
      </c>
      <c r="U45" s="175" t="str">
        <f t="shared" si="15"/>
        <v> </v>
      </c>
      <c r="V45" s="175" t="str">
        <f t="shared" si="18"/>
        <v/>
      </c>
      <c r="W45" s="175" t="str">
        <f t="shared" si="9"/>
        <v/>
      </c>
      <c r="X45" s="175" t="str">
        <f t="shared" si="10"/>
        <v/>
      </c>
      <c r="Y45" s="195" t="str">
        <f t="shared" si="14"/>
        <v/>
      </c>
      <c r="Z45" s="195" t="str">
        <f t="shared" si="3"/>
        <v/>
      </c>
      <c r="AA45" s="195" t="str">
        <f t="shared" si="4"/>
        <v/>
      </c>
      <c r="AC45" s="196" t="str">
        <f t="shared" si="11"/>
        <v/>
      </c>
    </row>
    <row r="46" hidden="1" spans="1:29">
      <c r="A46" s="181">
        <v>45</v>
      </c>
      <c r="B46" s="181" t="s">
        <v>124</v>
      </c>
      <c r="C46" s="181" t="s">
        <v>55</v>
      </c>
      <c r="D46" s="181" t="s">
        <v>125</v>
      </c>
      <c r="E46" s="206">
        <v>50</v>
      </c>
      <c r="F46" s="206">
        <v>0</v>
      </c>
      <c r="G46" s="206">
        <v>50</v>
      </c>
      <c r="H46" s="206">
        <v>0</v>
      </c>
      <c r="I46" s="185" t="str">
        <f t="shared" si="5"/>
        <v>完工</v>
      </c>
      <c r="J46" s="208">
        <v>50</v>
      </c>
      <c r="K46" s="209">
        <f t="shared" si="6"/>
        <v>50</v>
      </c>
      <c r="L46" s="186"/>
      <c r="M46" s="210">
        <v>44555</v>
      </c>
      <c r="N46" s="210">
        <v>44676</v>
      </c>
      <c r="O46" s="181" t="s">
        <v>57</v>
      </c>
      <c r="P46" s="181" t="s">
        <v>39</v>
      </c>
      <c r="Q46" s="181"/>
      <c r="R46" s="186"/>
      <c r="S46" s="193">
        <f t="shared" si="0"/>
        <v>0</v>
      </c>
      <c r="T46" s="193" t="str">
        <f t="shared" si="7"/>
        <v/>
      </c>
      <c r="U46" s="175" t="str">
        <f t="shared" si="15"/>
        <v> </v>
      </c>
      <c r="V46" s="175" t="str">
        <f t="shared" si="18"/>
        <v/>
      </c>
      <c r="W46" s="175" t="str">
        <f t="shared" si="9"/>
        <v/>
      </c>
      <c r="X46" s="175" t="str">
        <f t="shared" si="10"/>
        <v/>
      </c>
      <c r="Y46" s="195" t="str">
        <f t="shared" si="14"/>
        <v/>
      </c>
      <c r="Z46" s="195" t="str">
        <f t="shared" si="3"/>
        <v/>
      </c>
      <c r="AA46" s="195" t="str">
        <f t="shared" si="4"/>
        <v/>
      </c>
      <c r="AC46" s="196" t="str">
        <f t="shared" si="11"/>
        <v/>
      </c>
    </row>
    <row r="47" hidden="1" spans="1:29">
      <c r="A47" s="181">
        <v>46</v>
      </c>
      <c r="B47" s="181" t="s">
        <v>126</v>
      </c>
      <c r="C47" s="181" t="s">
        <v>55</v>
      </c>
      <c r="D47" s="181" t="s">
        <v>127</v>
      </c>
      <c r="E47" s="206">
        <v>80</v>
      </c>
      <c r="F47" s="206">
        <v>0</v>
      </c>
      <c r="G47" s="206">
        <v>80</v>
      </c>
      <c r="H47" s="206">
        <v>0</v>
      </c>
      <c r="I47" s="185" t="str">
        <f t="shared" si="5"/>
        <v>完工</v>
      </c>
      <c r="J47" s="208">
        <v>80</v>
      </c>
      <c r="K47" s="209">
        <f t="shared" si="6"/>
        <v>80</v>
      </c>
      <c r="L47" s="186"/>
      <c r="M47" s="210">
        <v>44555</v>
      </c>
      <c r="N47" s="210">
        <v>44676</v>
      </c>
      <c r="O47" s="181" t="s">
        <v>57</v>
      </c>
      <c r="P47" s="181" t="s">
        <v>39</v>
      </c>
      <c r="Q47" s="181"/>
      <c r="R47" s="186"/>
      <c r="S47" s="193">
        <f t="shared" si="0"/>
        <v>0</v>
      </c>
      <c r="T47" s="193" t="str">
        <f t="shared" si="7"/>
        <v/>
      </c>
      <c r="U47" s="175" t="str">
        <f t="shared" si="15"/>
        <v> </v>
      </c>
      <c r="V47" s="175" t="str">
        <f t="shared" si="18"/>
        <v/>
      </c>
      <c r="W47" s="175" t="str">
        <f t="shared" si="9"/>
        <v/>
      </c>
      <c r="X47" s="175" t="str">
        <f t="shared" si="10"/>
        <v/>
      </c>
      <c r="Y47" s="195" t="str">
        <f t="shared" si="14"/>
        <v/>
      </c>
      <c r="Z47" s="195" t="str">
        <f t="shared" si="3"/>
        <v/>
      </c>
      <c r="AA47" s="195" t="str">
        <f t="shared" si="4"/>
        <v/>
      </c>
      <c r="AC47" s="196" t="str">
        <f t="shared" si="11"/>
        <v/>
      </c>
    </row>
    <row r="48" hidden="1" spans="1:29">
      <c r="A48" s="181">
        <v>47</v>
      </c>
      <c r="B48" s="181" t="s">
        <v>128</v>
      </c>
      <c r="C48" s="181" t="s">
        <v>129</v>
      </c>
      <c r="D48" s="181" t="s">
        <v>130</v>
      </c>
      <c r="E48" s="206">
        <v>1783</v>
      </c>
      <c r="F48" s="206">
        <v>778</v>
      </c>
      <c r="G48" s="206">
        <v>1005</v>
      </c>
      <c r="H48" s="206">
        <v>0</v>
      </c>
      <c r="I48" s="185" t="str">
        <f t="shared" si="5"/>
        <v>完工</v>
      </c>
      <c r="J48" s="208">
        <v>1783</v>
      </c>
      <c r="K48" s="209">
        <f t="shared" si="6"/>
        <v>1005</v>
      </c>
      <c r="L48" s="186"/>
      <c r="M48" s="210">
        <v>44531</v>
      </c>
      <c r="N48" s="210">
        <v>44774</v>
      </c>
      <c r="O48" s="181" t="s">
        <v>131</v>
      </c>
      <c r="P48" s="181" t="s">
        <v>132</v>
      </c>
      <c r="Q48" s="181"/>
      <c r="R48" s="186" t="s">
        <v>133</v>
      </c>
      <c r="S48" s="193">
        <f t="shared" si="0"/>
        <v>0</v>
      </c>
      <c r="T48" s="193" t="str">
        <f t="shared" si="7"/>
        <v/>
      </c>
      <c r="U48" s="175" t="str">
        <f t="shared" si="15"/>
        <v> </v>
      </c>
      <c r="V48" s="175" t="str">
        <f>IF(I48="完工","",4)</f>
        <v/>
      </c>
      <c r="W48" s="175" t="str">
        <f t="shared" si="9"/>
        <v/>
      </c>
      <c r="X48" s="175" t="str">
        <f t="shared" si="10"/>
        <v/>
      </c>
      <c r="Y48" s="195" t="str">
        <f t="shared" si="14"/>
        <v/>
      </c>
      <c r="Z48" s="195" t="str">
        <f t="shared" si="3"/>
        <v/>
      </c>
      <c r="AA48" s="195" t="str">
        <f t="shared" si="4"/>
        <v/>
      </c>
      <c r="AB48" s="177">
        <v>4.6</v>
      </c>
      <c r="AC48" s="196" t="str">
        <f t="shared" si="11"/>
        <v/>
      </c>
    </row>
    <row r="49" hidden="1" spans="1:29">
      <c r="A49" s="181">
        <v>48</v>
      </c>
      <c r="B49" s="181" t="s">
        <v>134</v>
      </c>
      <c r="C49" s="181" t="s">
        <v>129</v>
      </c>
      <c r="D49" s="181" t="s">
        <v>135</v>
      </c>
      <c r="E49" s="206">
        <v>1316</v>
      </c>
      <c r="F49" s="206">
        <v>500</v>
      </c>
      <c r="G49" s="206">
        <v>816</v>
      </c>
      <c r="H49" s="206">
        <v>0</v>
      </c>
      <c r="I49" s="185" t="str">
        <f t="shared" si="5"/>
        <v>完工</v>
      </c>
      <c r="J49" s="208">
        <v>1316</v>
      </c>
      <c r="K49" s="209">
        <f t="shared" si="6"/>
        <v>816</v>
      </c>
      <c r="L49" s="186"/>
      <c r="M49" s="210">
        <v>44531</v>
      </c>
      <c r="N49" s="210">
        <v>44713</v>
      </c>
      <c r="O49" s="181" t="s">
        <v>131</v>
      </c>
      <c r="P49" s="181" t="s">
        <v>132</v>
      </c>
      <c r="Q49" s="181"/>
      <c r="R49" s="186" t="s">
        <v>136</v>
      </c>
      <c r="S49" s="193">
        <f t="shared" si="0"/>
        <v>0</v>
      </c>
      <c r="T49" s="193" t="str">
        <f t="shared" si="7"/>
        <v/>
      </c>
      <c r="U49" s="175" t="str">
        <f t="shared" si="15"/>
        <v> </v>
      </c>
      <c r="V49" s="175" t="str">
        <f>IF(I49="完工","",6)</f>
        <v/>
      </c>
      <c r="W49" s="175" t="str">
        <f t="shared" si="9"/>
        <v/>
      </c>
      <c r="X49" s="175" t="str">
        <f t="shared" si="10"/>
        <v/>
      </c>
      <c r="Y49" s="195" t="str">
        <f t="shared" si="14"/>
        <v/>
      </c>
      <c r="Z49" s="195" t="str">
        <f t="shared" si="3"/>
        <v/>
      </c>
      <c r="AA49" s="195" t="str">
        <f t="shared" si="4"/>
        <v/>
      </c>
      <c r="AC49" s="196" t="str">
        <f t="shared" si="11"/>
        <v/>
      </c>
    </row>
    <row r="50" hidden="1" spans="1:29">
      <c r="A50" s="181">
        <v>49</v>
      </c>
      <c r="B50" s="181" t="s">
        <v>137</v>
      </c>
      <c r="C50" s="181" t="s">
        <v>129</v>
      </c>
      <c r="D50" s="181" t="s">
        <v>135</v>
      </c>
      <c r="E50" s="206">
        <v>1346</v>
      </c>
      <c r="F50" s="206">
        <v>500</v>
      </c>
      <c r="G50" s="206">
        <v>846</v>
      </c>
      <c r="H50" s="206">
        <v>0</v>
      </c>
      <c r="I50" s="185" t="str">
        <f t="shared" si="5"/>
        <v>完工</v>
      </c>
      <c r="J50" s="208">
        <v>1346</v>
      </c>
      <c r="K50" s="209">
        <f t="shared" si="6"/>
        <v>846</v>
      </c>
      <c r="L50" s="186"/>
      <c r="M50" s="210">
        <v>44531</v>
      </c>
      <c r="N50" s="210">
        <v>44742</v>
      </c>
      <c r="O50" s="181" t="s">
        <v>131</v>
      </c>
      <c r="P50" s="181" t="s">
        <v>132</v>
      </c>
      <c r="Q50" s="181"/>
      <c r="R50" s="186" t="s">
        <v>136</v>
      </c>
      <c r="S50" s="193">
        <f t="shared" si="0"/>
        <v>0</v>
      </c>
      <c r="T50" s="193" t="str">
        <f t="shared" si="7"/>
        <v/>
      </c>
      <c r="U50" s="175" t="str">
        <f t="shared" si="15"/>
        <v> </v>
      </c>
      <c r="V50" s="175" t="str">
        <f t="shared" ref="V50:V54" si="19">IF(I50="完工","",6)</f>
        <v/>
      </c>
      <c r="W50" s="175" t="str">
        <f t="shared" si="9"/>
        <v/>
      </c>
      <c r="X50" s="175" t="str">
        <f t="shared" si="10"/>
        <v/>
      </c>
      <c r="Y50" s="195" t="str">
        <f t="shared" si="14"/>
        <v/>
      </c>
      <c r="Z50" s="195" t="str">
        <f t="shared" si="3"/>
        <v/>
      </c>
      <c r="AA50" s="195" t="str">
        <f t="shared" si="4"/>
        <v/>
      </c>
      <c r="AC50" s="196" t="str">
        <f t="shared" si="11"/>
        <v/>
      </c>
    </row>
    <row r="51" hidden="1" spans="1:29">
      <c r="A51" s="181">
        <v>50</v>
      </c>
      <c r="B51" s="181" t="s">
        <v>138</v>
      </c>
      <c r="C51" s="181" t="s">
        <v>129</v>
      </c>
      <c r="D51" s="181" t="s">
        <v>139</v>
      </c>
      <c r="E51" s="206">
        <v>300</v>
      </c>
      <c r="F51" s="206">
        <v>0</v>
      </c>
      <c r="G51" s="206">
        <v>300</v>
      </c>
      <c r="H51" s="206">
        <v>0</v>
      </c>
      <c r="I51" s="185" t="str">
        <f t="shared" si="5"/>
        <v>完工</v>
      </c>
      <c r="J51" s="208">
        <v>300</v>
      </c>
      <c r="K51" s="209">
        <f t="shared" si="6"/>
        <v>300</v>
      </c>
      <c r="L51" s="186"/>
      <c r="M51" s="210">
        <v>44652</v>
      </c>
      <c r="N51" s="210">
        <v>44742</v>
      </c>
      <c r="O51" s="181" t="s">
        <v>131</v>
      </c>
      <c r="P51" s="181" t="s">
        <v>140</v>
      </c>
      <c r="Q51" s="181"/>
      <c r="R51" s="186" t="s">
        <v>136</v>
      </c>
      <c r="S51" s="193">
        <f t="shared" si="0"/>
        <v>0</v>
      </c>
      <c r="T51" s="193" t="str">
        <f t="shared" si="7"/>
        <v/>
      </c>
      <c r="U51" s="175" t="str">
        <f>IF(I51="完工"," ",2.7)</f>
        <v> </v>
      </c>
      <c r="V51" s="175" t="str">
        <f t="shared" si="19"/>
        <v/>
      </c>
      <c r="W51" s="175" t="str">
        <f t="shared" si="9"/>
        <v/>
      </c>
      <c r="X51" s="175" t="str">
        <f t="shared" si="10"/>
        <v/>
      </c>
      <c r="Y51" s="195" t="str">
        <f t="shared" si="14"/>
        <v/>
      </c>
      <c r="Z51" s="195" t="str">
        <f t="shared" si="3"/>
        <v/>
      </c>
      <c r="AA51" s="195" t="str">
        <f t="shared" si="4"/>
        <v/>
      </c>
      <c r="AB51" s="177">
        <v>4.6</v>
      </c>
      <c r="AC51" s="196" t="str">
        <f t="shared" si="11"/>
        <v/>
      </c>
    </row>
    <row r="52" ht="93" customHeight="1" spans="1:29">
      <c r="A52" s="197">
        <v>51</v>
      </c>
      <c r="B52" s="207" t="s">
        <v>141</v>
      </c>
      <c r="C52" s="198" t="s">
        <v>129</v>
      </c>
      <c r="D52" s="198" t="s">
        <v>142</v>
      </c>
      <c r="E52" s="206">
        <v>225</v>
      </c>
      <c r="F52" s="206">
        <v>180</v>
      </c>
      <c r="G52" s="206">
        <v>45</v>
      </c>
      <c r="H52" s="206">
        <v>0</v>
      </c>
      <c r="I52" s="185" t="str">
        <f t="shared" si="5"/>
        <v>完工</v>
      </c>
      <c r="J52" s="208">
        <v>225</v>
      </c>
      <c r="K52" s="209">
        <f t="shared" si="6"/>
        <v>45</v>
      </c>
      <c r="L52" s="186"/>
      <c r="M52" s="210">
        <v>44518</v>
      </c>
      <c r="N52" s="210">
        <v>44742</v>
      </c>
      <c r="O52" s="181" t="s">
        <v>131</v>
      </c>
      <c r="P52" s="181" t="s">
        <v>51</v>
      </c>
      <c r="Q52" s="181"/>
      <c r="R52" s="186" t="s">
        <v>136</v>
      </c>
      <c r="S52" s="193">
        <f t="shared" si="0"/>
        <v>0</v>
      </c>
      <c r="T52" s="193" t="str">
        <f t="shared" si="7"/>
        <v/>
      </c>
      <c r="U52" s="175" t="str">
        <f>IF(I52="完工"," ",0)</f>
        <v> </v>
      </c>
      <c r="V52" s="175" t="str">
        <f t="shared" si="19"/>
        <v/>
      </c>
      <c r="W52" s="175" t="str">
        <f t="shared" si="9"/>
        <v/>
      </c>
      <c r="X52" s="175" t="str">
        <f t="shared" si="10"/>
        <v/>
      </c>
      <c r="Y52" s="195" t="str">
        <f t="shared" si="14"/>
        <v/>
      </c>
      <c r="Z52" s="195" t="str">
        <f t="shared" si="3"/>
        <v/>
      </c>
      <c r="AA52" s="195" t="str">
        <f t="shared" si="4"/>
        <v/>
      </c>
      <c r="AC52" s="196" t="str">
        <f t="shared" si="11"/>
        <v/>
      </c>
    </row>
    <row r="53" ht="90" customHeight="1" spans="1:29">
      <c r="A53" s="197">
        <v>52</v>
      </c>
      <c r="B53" s="207" t="s">
        <v>143</v>
      </c>
      <c r="C53" s="198" t="s">
        <v>129</v>
      </c>
      <c r="D53" s="198" t="s">
        <v>144</v>
      </c>
      <c r="E53" s="206">
        <v>369</v>
      </c>
      <c r="F53" s="206">
        <v>2.5</v>
      </c>
      <c r="G53" s="206">
        <v>366.5</v>
      </c>
      <c r="H53" s="206">
        <v>0</v>
      </c>
      <c r="I53" s="185" t="str">
        <f t="shared" si="5"/>
        <v>完工</v>
      </c>
      <c r="J53" s="208">
        <v>369</v>
      </c>
      <c r="K53" s="209">
        <f t="shared" si="6"/>
        <v>366.5</v>
      </c>
      <c r="L53" s="186"/>
      <c r="M53" s="210">
        <v>44545</v>
      </c>
      <c r="N53" s="210">
        <v>44742</v>
      </c>
      <c r="O53" s="181" t="s">
        <v>131</v>
      </c>
      <c r="P53" s="181" t="s">
        <v>51</v>
      </c>
      <c r="Q53" s="181"/>
      <c r="R53" s="186" t="s">
        <v>136</v>
      </c>
      <c r="S53" s="193">
        <f t="shared" si="0"/>
        <v>0</v>
      </c>
      <c r="T53" s="193" t="str">
        <f t="shared" si="7"/>
        <v/>
      </c>
      <c r="U53" s="175" t="str">
        <f>IF(I53="完工"," ",0)</f>
        <v> </v>
      </c>
      <c r="V53" s="175" t="str">
        <f t="shared" si="19"/>
        <v/>
      </c>
      <c r="W53" s="175" t="str">
        <f t="shared" si="9"/>
        <v/>
      </c>
      <c r="X53" s="175" t="str">
        <f t="shared" si="10"/>
        <v/>
      </c>
      <c r="Y53" s="195" t="str">
        <f t="shared" si="14"/>
        <v/>
      </c>
      <c r="Z53" s="195" t="str">
        <f t="shared" si="3"/>
        <v/>
      </c>
      <c r="AA53" s="195" t="str">
        <f t="shared" si="4"/>
        <v/>
      </c>
      <c r="AC53" s="196" t="str">
        <f t="shared" si="11"/>
        <v/>
      </c>
    </row>
    <row r="54" ht="101" customHeight="1" spans="1:29">
      <c r="A54" s="197">
        <v>53</v>
      </c>
      <c r="B54" s="207" t="s">
        <v>145</v>
      </c>
      <c r="C54" s="198" t="s">
        <v>129</v>
      </c>
      <c r="D54" s="198" t="s">
        <v>146</v>
      </c>
      <c r="E54" s="206">
        <v>507</v>
      </c>
      <c r="F54" s="206">
        <v>2.5</v>
      </c>
      <c r="G54" s="206">
        <v>504.5</v>
      </c>
      <c r="H54" s="206">
        <v>0</v>
      </c>
      <c r="I54" s="185" t="str">
        <f t="shared" si="5"/>
        <v>完工</v>
      </c>
      <c r="J54" s="208">
        <v>507</v>
      </c>
      <c r="K54" s="209">
        <f t="shared" si="6"/>
        <v>504.5</v>
      </c>
      <c r="L54" s="186"/>
      <c r="M54" s="210">
        <v>44621</v>
      </c>
      <c r="N54" s="210">
        <v>44742</v>
      </c>
      <c r="O54" s="181" t="s">
        <v>131</v>
      </c>
      <c r="P54" s="181" t="s">
        <v>51</v>
      </c>
      <c r="Q54" s="181"/>
      <c r="R54" s="186" t="s">
        <v>136</v>
      </c>
      <c r="S54" s="193">
        <f t="shared" si="0"/>
        <v>0</v>
      </c>
      <c r="T54" s="193" t="str">
        <f t="shared" si="7"/>
        <v/>
      </c>
      <c r="U54" s="175" t="str">
        <f>IF(I54="完工"," ",2)</f>
        <v> </v>
      </c>
      <c r="V54" s="175" t="str">
        <f t="shared" si="19"/>
        <v/>
      </c>
      <c r="W54" s="175" t="str">
        <f t="shared" si="9"/>
        <v/>
      </c>
      <c r="X54" s="175" t="str">
        <f t="shared" si="10"/>
        <v/>
      </c>
      <c r="Y54" s="195" t="str">
        <f t="shared" si="14"/>
        <v/>
      </c>
      <c r="Z54" s="195" t="str">
        <f t="shared" si="3"/>
        <v/>
      </c>
      <c r="AA54" s="195" t="str">
        <f t="shared" si="4"/>
        <v/>
      </c>
      <c r="AC54" s="196" t="str">
        <f t="shared" si="11"/>
        <v/>
      </c>
    </row>
    <row r="55" hidden="1" spans="1:29">
      <c r="A55" s="181">
        <v>54</v>
      </c>
      <c r="B55" s="181" t="s">
        <v>147</v>
      </c>
      <c r="C55" s="181" t="s">
        <v>129</v>
      </c>
      <c r="D55" s="181" t="s">
        <v>146</v>
      </c>
      <c r="E55" s="206">
        <v>1350</v>
      </c>
      <c r="F55" s="206">
        <v>120</v>
      </c>
      <c r="G55" s="206">
        <v>1230</v>
      </c>
      <c r="H55" s="206">
        <v>0</v>
      </c>
      <c r="I55" s="185" t="str">
        <f t="shared" si="5"/>
        <v>在建</v>
      </c>
      <c r="J55" s="208">
        <v>1250</v>
      </c>
      <c r="K55" s="209">
        <f t="shared" si="6"/>
        <v>1130</v>
      </c>
      <c r="L55" s="186"/>
      <c r="M55" s="210">
        <v>44501</v>
      </c>
      <c r="N55" s="210">
        <v>44926</v>
      </c>
      <c r="O55" s="181" t="s">
        <v>131</v>
      </c>
      <c r="P55" s="181" t="s">
        <v>33</v>
      </c>
      <c r="Q55" s="181"/>
      <c r="R55" s="186" t="s">
        <v>133</v>
      </c>
      <c r="S55" s="193">
        <f t="shared" si="0"/>
        <v>0</v>
      </c>
      <c r="T55" s="193">
        <f t="shared" si="7"/>
        <v>0</v>
      </c>
      <c r="U55" s="175">
        <f>IF(I55="完工"," ",0)</f>
        <v>0</v>
      </c>
      <c r="V55" s="175">
        <f>IF(I55="完工","",0)</f>
        <v>0</v>
      </c>
      <c r="W55" s="175">
        <f t="shared" si="9"/>
        <v>12</v>
      </c>
      <c r="X55" s="175">
        <f t="shared" si="10"/>
        <v>6.5</v>
      </c>
      <c r="Y55" s="195">
        <f t="shared" si="14"/>
        <v>0.542</v>
      </c>
      <c r="Z55" s="195">
        <f t="shared" si="3"/>
        <v>0.919</v>
      </c>
      <c r="AA55" s="195">
        <f t="shared" si="4"/>
        <v>0.377</v>
      </c>
      <c r="AC55" s="196">
        <f t="shared" si="11"/>
        <v>0.926</v>
      </c>
    </row>
    <row r="56" hidden="1" spans="1:29">
      <c r="A56" s="181">
        <v>55</v>
      </c>
      <c r="B56" s="181" t="s">
        <v>148</v>
      </c>
      <c r="C56" s="181" t="s">
        <v>129</v>
      </c>
      <c r="D56" s="181" t="s">
        <v>149</v>
      </c>
      <c r="E56" s="206">
        <v>9653</v>
      </c>
      <c r="F56" s="206">
        <v>0</v>
      </c>
      <c r="G56" s="206">
        <v>9653</v>
      </c>
      <c r="H56" s="206">
        <v>0</v>
      </c>
      <c r="I56" s="185" t="str">
        <f t="shared" si="5"/>
        <v>在建</v>
      </c>
      <c r="J56" s="208">
        <v>7730</v>
      </c>
      <c r="K56" s="209">
        <f t="shared" si="6"/>
        <v>7730</v>
      </c>
      <c r="L56" s="186"/>
      <c r="M56" s="210">
        <v>44621</v>
      </c>
      <c r="N56" s="210">
        <v>44926</v>
      </c>
      <c r="O56" s="181" t="s">
        <v>131</v>
      </c>
      <c r="P56" s="181" t="s">
        <v>33</v>
      </c>
      <c r="Q56" s="181"/>
      <c r="R56" s="186" t="s">
        <v>133</v>
      </c>
      <c r="S56" s="193">
        <f t="shared" si="0"/>
        <v>0</v>
      </c>
      <c r="T56" s="193">
        <f t="shared" si="7"/>
        <v>0</v>
      </c>
      <c r="U56" s="175">
        <f>IF(I56="完工"," ",2)</f>
        <v>2</v>
      </c>
      <c r="V56" s="175">
        <f t="shared" ref="V56:V70" si="20">IF(I56="完工","",0)</f>
        <v>0</v>
      </c>
      <c r="W56" s="175">
        <f t="shared" si="9"/>
        <v>10</v>
      </c>
      <c r="X56" s="175">
        <f t="shared" si="10"/>
        <v>4.5</v>
      </c>
      <c r="Y56" s="195">
        <f t="shared" si="14"/>
        <v>0.45</v>
      </c>
      <c r="Z56" s="195">
        <f t="shared" si="3"/>
        <v>0.801</v>
      </c>
      <c r="AA56" s="195">
        <f t="shared" si="4"/>
        <v>0.351</v>
      </c>
      <c r="AC56" s="196">
        <f t="shared" si="11"/>
        <v>0.801</v>
      </c>
    </row>
    <row r="57" hidden="1" spans="1:29">
      <c r="A57" s="181">
        <v>56</v>
      </c>
      <c r="B57" s="181" t="s">
        <v>150</v>
      </c>
      <c r="C57" s="181" t="s">
        <v>129</v>
      </c>
      <c r="D57" s="181" t="s">
        <v>151</v>
      </c>
      <c r="E57" s="206">
        <v>4106</v>
      </c>
      <c r="F57" s="206">
        <v>1657</v>
      </c>
      <c r="G57" s="206">
        <v>2449</v>
      </c>
      <c r="H57" s="206">
        <v>0</v>
      </c>
      <c r="I57" s="185" t="str">
        <f t="shared" si="5"/>
        <v>在建</v>
      </c>
      <c r="J57" s="208">
        <v>3520</v>
      </c>
      <c r="K57" s="209">
        <f t="shared" si="6"/>
        <v>1863</v>
      </c>
      <c r="L57" s="186"/>
      <c r="M57" s="210">
        <v>44501</v>
      </c>
      <c r="N57" s="210">
        <v>44926</v>
      </c>
      <c r="O57" s="181" t="s">
        <v>131</v>
      </c>
      <c r="P57" s="181" t="s">
        <v>33</v>
      </c>
      <c r="Q57" s="181"/>
      <c r="R57" s="186" t="s">
        <v>133</v>
      </c>
      <c r="S57" s="193">
        <f t="shared" si="0"/>
        <v>0</v>
      </c>
      <c r="T57" s="193">
        <f t="shared" si="7"/>
        <v>0</v>
      </c>
      <c r="U57" s="175">
        <f>IF(I57="完工"," ",0)</f>
        <v>0</v>
      </c>
      <c r="V57" s="175">
        <f t="shared" si="20"/>
        <v>0</v>
      </c>
      <c r="W57" s="175">
        <f t="shared" si="9"/>
        <v>12</v>
      </c>
      <c r="X57" s="175">
        <f t="shared" si="10"/>
        <v>6.5</v>
      </c>
      <c r="Y57" s="195">
        <f t="shared" si="14"/>
        <v>0.542</v>
      </c>
      <c r="Z57" s="195">
        <f t="shared" si="3"/>
        <v>0.761</v>
      </c>
      <c r="AA57" s="195">
        <f t="shared" si="4"/>
        <v>0.219</v>
      </c>
      <c r="AC57" s="196">
        <f t="shared" si="11"/>
        <v>0.857</v>
      </c>
    </row>
    <row r="58" hidden="1" spans="1:29">
      <c r="A58" s="181">
        <v>57</v>
      </c>
      <c r="B58" s="181" t="s">
        <v>152</v>
      </c>
      <c r="C58" s="181" t="s">
        <v>129</v>
      </c>
      <c r="D58" s="181" t="s">
        <v>153</v>
      </c>
      <c r="E58" s="206">
        <v>1575</v>
      </c>
      <c r="F58" s="206">
        <v>0</v>
      </c>
      <c r="G58" s="206">
        <v>1575</v>
      </c>
      <c r="H58" s="206">
        <v>0</v>
      </c>
      <c r="I58" s="185" t="str">
        <f t="shared" si="5"/>
        <v>在建</v>
      </c>
      <c r="J58" s="208">
        <v>1440</v>
      </c>
      <c r="K58" s="209">
        <f t="shared" si="6"/>
        <v>1440</v>
      </c>
      <c r="L58" s="186"/>
      <c r="M58" s="210">
        <v>44621</v>
      </c>
      <c r="N58" s="210">
        <v>44926</v>
      </c>
      <c r="O58" s="181" t="s">
        <v>131</v>
      </c>
      <c r="P58" s="181" t="s">
        <v>33</v>
      </c>
      <c r="Q58" s="181"/>
      <c r="R58" s="186" t="s">
        <v>133</v>
      </c>
      <c r="S58" s="193">
        <f t="shared" si="0"/>
        <v>0</v>
      </c>
      <c r="T58" s="193">
        <f t="shared" si="7"/>
        <v>0</v>
      </c>
      <c r="U58" s="175">
        <f t="shared" ref="U58:U60" si="21">IF(I58="完工"," ",2)</f>
        <v>2</v>
      </c>
      <c r="V58" s="175">
        <f t="shared" si="20"/>
        <v>0</v>
      </c>
      <c r="W58" s="175">
        <f t="shared" si="9"/>
        <v>10</v>
      </c>
      <c r="X58" s="175">
        <f t="shared" si="10"/>
        <v>4.5</v>
      </c>
      <c r="Y58" s="195">
        <f t="shared" si="14"/>
        <v>0.45</v>
      </c>
      <c r="Z58" s="195">
        <f t="shared" si="3"/>
        <v>0.914</v>
      </c>
      <c r="AA58" s="195">
        <f t="shared" si="4"/>
        <v>0.464</v>
      </c>
      <c r="AC58" s="196">
        <f t="shared" si="11"/>
        <v>0.914</v>
      </c>
    </row>
    <row r="59" hidden="1" spans="1:29">
      <c r="A59" s="181">
        <v>58</v>
      </c>
      <c r="B59" s="181" t="s">
        <v>154</v>
      </c>
      <c r="C59" s="181" t="s">
        <v>129</v>
      </c>
      <c r="D59" s="181" t="s">
        <v>155</v>
      </c>
      <c r="E59" s="206">
        <v>1294</v>
      </c>
      <c r="F59" s="206">
        <v>0</v>
      </c>
      <c r="G59" s="206">
        <v>1294</v>
      </c>
      <c r="H59" s="206">
        <v>0</v>
      </c>
      <c r="I59" s="185" t="str">
        <f t="shared" si="5"/>
        <v>完工</v>
      </c>
      <c r="J59" s="208">
        <v>1294</v>
      </c>
      <c r="K59" s="209">
        <f t="shared" si="6"/>
        <v>1294</v>
      </c>
      <c r="L59" s="186"/>
      <c r="M59" s="210">
        <v>44621</v>
      </c>
      <c r="N59" s="210">
        <v>44926</v>
      </c>
      <c r="O59" s="181" t="s">
        <v>131</v>
      </c>
      <c r="P59" s="181" t="s">
        <v>33</v>
      </c>
      <c r="Q59" s="181"/>
      <c r="R59" s="186" t="s">
        <v>133</v>
      </c>
      <c r="S59" s="193">
        <f t="shared" si="0"/>
        <v>0</v>
      </c>
      <c r="T59" s="193" t="str">
        <f t="shared" si="7"/>
        <v/>
      </c>
      <c r="U59" s="175" t="str">
        <f t="shared" si="21"/>
        <v> </v>
      </c>
      <c r="V59" s="175" t="str">
        <f t="shared" si="20"/>
        <v/>
      </c>
      <c r="W59" s="175" t="str">
        <f t="shared" si="9"/>
        <v/>
      </c>
      <c r="X59" s="175" t="str">
        <f t="shared" si="10"/>
        <v/>
      </c>
      <c r="Y59" s="195" t="str">
        <f t="shared" si="14"/>
        <v/>
      </c>
      <c r="Z59" s="195" t="str">
        <f t="shared" si="3"/>
        <v/>
      </c>
      <c r="AA59" s="195" t="str">
        <f t="shared" si="4"/>
        <v/>
      </c>
      <c r="AC59" s="196" t="str">
        <f t="shared" si="11"/>
        <v/>
      </c>
    </row>
    <row r="60" hidden="1" spans="1:29">
      <c r="A60" s="181">
        <v>59</v>
      </c>
      <c r="B60" s="181" t="s">
        <v>156</v>
      </c>
      <c r="C60" s="181" t="s">
        <v>129</v>
      </c>
      <c r="D60" s="181" t="s">
        <v>157</v>
      </c>
      <c r="E60" s="206">
        <v>1181</v>
      </c>
      <c r="F60" s="206">
        <v>15</v>
      </c>
      <c r="G60" s="206">
        <v>1166</v>
      </c>
      <c r="H60" s="206">
        <v>0</v>
      </c>
      <c r="I60" s="185" t="str">
        <f t="shared" si="5"/>
        <v>在建</v>
      </c>
      <c r="J60" s="208">
        <v>1125</v>
      </c>
      <c r="K60" s="209">
        <f t="shared" si="6"/>
        <v>1110</v>
      </c>
      <c r="L60" s="186"/>
      <c r="M60" s="210">
        <v>44621</v>
      </c>
      <c r="N60" s="210">
        <v>44926</v>
      </c>
      <c r="O60" s="181" t="s">
        <v>131</v>
      </c>
      <c r="P60" s="181" t="s">
        <v>33</v>
      </c>
      <c r="Q60" s="181"/>
      <c r="R60" s="186" t="s">
        <v>133</v>
      </c>
      <c r="S60" s="193">
        <f t="shared" si="0"/>
        <v>0</v>
      </c>
      <c r="T60" s="193">
        <f t="shared" si="7"/>
        <v>0</v>
      </c>
      <c r="U60" s="175">
        <f t="shared" si="21"/>
        <v>2</v>
      </c>
      <c r="V60" s="175">
        <f t="shared" si="20"/>
        <v>0</v>
      </c>
      <c r="W60" s="175">
        <f t="shared" si="9"/>
        <v>10</v>
      </c>
      <c r="X60" s="175">
        <f t="shared" si="10"/>
        <v>4.5</v>
      </c>
      <c r="Y60" s="195">
        <f t="shared" si="14"/>
        <v>0.45</v>
      </c>
      <c r="Z60" s="195">
        <f t="shared" si="3"/>
        <v>0.952</v>
      </c>
      <c r="AA60" s="195">
        <f t="shared" si="4"/>
        <v>0.502</v>
      </c>
      <c r="AC60" s="196">
        <f t="shared" si="11"/>
        <v>0.953</v>
      </c>
    </row>
    <row r="61" hidden="1" spans="1:29">
      <c r="A61" s="181">
        <v>60</v>
      </c>
      <c r="B61" s="181" t="s">
        <v>158</v>
      </c>
      <c r="C61" s="181" t="s">
        <v>129</v>
      </c>
      <c r="D61" s="181" t="s">
        <v>159</v>
      </c>
      <c r="E61" s="206">
        <v>100</v>
      </c>
      <c r="F61" s="206">
        <v>20</v>
      </c>
      <c r="G61" s="206">
        <v>80</v>
      </c>
      <c r="H61" s="206">
        <v>0</v>
      </c>
      <c r="I61" s="185" t="str">
        <f t="shared" si="5"/>
        <v>完工</v>
      </c>
      <c r="J61" s="208">
        <v>100</v>
      </c>
      <c r="K61" s="209">
        <f t="shared" si="6"/>
        <v>80</v>
      </c>
      <c r="L61" s="186"/>
      <c r="M61" s="210">
        <v>44501</v>
      </c>
      <c r="N61" s="210">
        <v>44926</v>
      </c>
      <c r="O61" s="181" t="s">
        <v>131</v>
      </c>
      <c r="P61" s="181" t="s">
        <v>33</v>
      </c>
      <c r="Q61" s="181"/>
      <c r="R61" s="186" t="s">
        <v>133</v>
      </c>
      <c r="S61" s="193">
        <f t="shared" si="0"/>
        <v>0</v>
      </c>
      <c r="T61" s="193" t="str">
        <f t="shared" si="7"/>
        <v/>
      </c>
      <c r="U61" s="175" t="str">
        <f t="shared" ref="U61:U67" si="22">IF(I61="完工"," ",0)</f>
        <v> </v>
      </c>
      <c r="V61" s="175" t="str">
        <f t="shared" si="20"/>
        <v/>
      </c>
      <c r="W61" s="175" t="str">
        <f t="shared" si="9"/>
        <v/>
      </c>
      <c r="X61" s="175" t="str">
        <f t="shared" si="10"/>
        <v/>
      </c>
      <c r="Y61" s="195" t="str">
        <f t="shared" si="14"/>
        <v/>
      </c>
      <c r="Z61" s="195" t="str">
        <f t="shared" si="3"/>
        <v/>
      </c>
      <c r="AA61" s="195" t="str">
        <f t="shared" si="4"/>
        <v/>
      </c>
      <c r="AC61" s="196" t="str">
        <f t="shared" si="11"/>
        <v/>
      </c>
    </row>
    <row r="62" hidden="1" spans="1:29">
      <c r="A62" s="181">
        <v>61</v>
      </c>
      <c r="B62" s="181" t="s">
        <v>160</v>
      </c>
      <c r="C62" s="181" t="s">
        <v>129</v>
      </c>
      <c r="D62" s="181" t="s">
        <v>161</v>
      </c>
      <c r="E62" s="206">
        <v>135</v>
      </c>
      <c r="F62" s="206">
        <v>23.5</v>
      </c>
      <c r="G62" s="206">
        <v>111.5</v>
      </c>
      <c r="H62" s="206">
        <v>0</v>
      </c>
      <c r="I62" s="185" t="str">
        <f t="shared" si="5"/>
        <v>完工</v>
      </c>
      <c r="J62" s="208">
        <v>135</v>
      </c>
      <c r="K62" s="209">
        <f t="shared" si="6"/>
        <v>111.5</v>
      </c>
      <c r="L62" s="186"/>
      <c r="M62" s="210">
        <v>44501</v>
      </c>
      <c r="N62" s="210">
        <v>44926</v>
      </c>
      <c r="O62" s="181" t="s">
        <v>131</v>
      </c>
      <c r="P62" s="181" t="s">
        <v>33</v>
      </c>
      <c r="Q62" s="181"/>
      <c r="R62" s="186" t="s">
        <v>133</v>
      </c>
      <c r="S62" s="193">
        <f t="shared" si="0"/>
        <v>0</v>
      </c>
      <c r="T62" s="193" t="str">
        <f t="shared" si="7"/>
        <v/>
      </c>
      <c r="U62" s="175" t="str">
        <f t="shared" si="22"/>
        <v> </v>
      </c>
      <c r="V62" s="175" t="str">
        <f t="shared" si="20"/>
        <v/>
      </c>
      <c r="W62" s="175" t="str">
        <f t="shared" si="9"/>
        <v/>
      </c>
      <c r="X62" s="175" t="str">
        <f t="shared" si="10"/>
        <v/>
      </c>
      <c r="Y62" s="195" t="str">
        <f t="shared" si="14"/>
        <v/>
      </c>
      <c r="Z62" s="195" t="str">
        <f t="shared" si="3"/>
        <v/>
      </c>
      <c r="AA62" s="195" t="str">
        <f t="shared" si="4"/>
        <v/>
      </c>
      <c r="AC62" s="196" t="str">
        <f t="shared" si="11"/>
        <v/>
      </c>
    </row>
    <row r="63" hidden="1" spans="1:29">
      <c r="A63" s="181">
        <v>62</v>
      </c>
      <c r="B63" s="181" t="s">
        <v>162</v>
      </c>
      <c r="C63" s="181" t="s">
        <v>129</v>
      </c>
      <c r="D63" s="181" t="s">
        <v>163</v>
      </c>
      <c r="E63" s="206">
        <v>67</v>
      </c>
      <c r="F63" s="206">
        <v>16.7</v>
      </c>
      <c r="G63" s="206">
        <v>50.3</v>
      </c>
      <c r="H63" s="206">
        <v>0</v>
      </c>
      <c r="I63" s="185" t="str">
        <f t="shared" si="5"/>
        <v>完工</v>
      </c>
      <c r="J63" s="208">
        <v>67</v>
      </c>
      <c r="K63" s="209">
        <f t="shared" si="6"/>
        <v>50.3</v>
      </c>
      <c r="L63" s="186"/>
      <c r="M63" s="210">
        <v>44501</v>
      </c>
      <c r="N63" s="210">
        <v>44926</v>
      </c>
      <c r="O63" s="181" t="s">
        <v>131</v>
      </c>
      <c r="P63" s="181" t="s">
        <v>33</v>
      </c>
      <c r="Q63" s="181"/>
      <c r="R63" s="186" t="s">
        <v>133</v>
      </c>
      <c r="S63" s="193">
        <f t="shared" si="0"/>
        <v>0</v>
      </c>
      <c r="T63" s="193" t="str">
        <f t="shared" si="7"/>
        <v/>
      </c>
      <c r="U63" s="175" t="str">
        <f t="shared" si="22"/>
        <v> </v>
      </c>
      <c r="V63" s="175" t="str">
        <f t="shared" si="20"/>
        <v/>
      </c>
      <c r="W63" s="175" t="str">
        <f t="shared" si="9"/>
        <v/>
      </c>
      <c r="X63" s="175" t="str">
        <f t="shared" si="10"/>
        <v/>
      </c>
      <c r="Y63" s="195" t="str">
        <f t="shared" si="14"/>
        <v/>
      </c>
      <c r="Z63" s="195" t="str">
        <f t="shared" si="3"/>
        <v/>
      </c>
      <c r="AA63" s="195" t="str">
        <f t="shared" si="4"/>
        <v/>
      </c>
      <c r="AC63" s="196" t="str">
        <f t="shared" si="11"/>
        <v/>
      </c>
    </row>
    <row r="64" hidden="1" spans="1:29">
      <c r="A64" s="181">
        <v>63</v>
      </c>
      <c r="B64" s="181" t="s">
        <v>164</v>
      </c>
      <c r="C64" s="181" t="s">
        <v>129</v>
      </c>
      <c r="D64" s="181" t="s">
        <v>165</v>
      </c>
      <c r="E64" s="206">
        <v>274</v>
      </c>
      <c r="F64" s="206">
        <v>35.4</v>
      </c>
      <c r="G64" s="206">
        <v>238.6</v>
      </c>
      <c r="H64" s="206">
        <v>0</v>
      </c>
      <c r="I64" s="185" t="str">
        <f t="shared" si="5"/>
        <v>完工</v>
      </c>
      <c r="J64" s="208">
        <v>274</v>
      </c>
      <c r="K64" s="209">
        <f t="shared" si="6"/>
        <v>238.6</v>
      </c>
      <c r="L64" s="186"/>
      <c r="M64" s="210">
        <v>44501</v>
      </c>
      <c r="N64" s="210">
        <v>44926</v>
      </c>
      <c r="O64" s="181" t="s">
        <v>131</v>
      </c>
      <c r="P64" s="181" t="s">
        <v>33</v>
      </c>
      <c r="Q64" s="181"/>
      <c r="R64" s="186" t="s">
        <v>133</v>
      </c>
      <c r="S64" s="193">
        <f t="shared" si="0"/>
        <v>0</v>
      </c>
      <c r="T64" s="193" t="str">
        <f t="shared" si="7"/>
        <v/>
      </c>
      <c r="U64" s="175" t="str">
        <f t="shared" si="22"/>
        <v> </v>
      </c>
      <c r="V64" s="175" t="str">
        <f t="shared" si="20"/>
        <v/>
      </c>
      <c r="W64" s="175" t="str">
        <f t="shared" si="9"/>
        <v/>
      </c>
      <c r="X64" s="175" t="str">
        <f t="shared" si="10"/>
        <v/>
      </c>
      <c r="Y64" s="195" t="str">
        <f t="shared" si="14"/>
        <v/>
      </c>
      <c r="Z64" s="195" t="str">
        <f t="shared" si="3"/>
        <v/>
      </c>
      <c r="AA64" s="195" t="str">
        <f t="shared" si="4"/>
        <v/>
      </c>
      <c r="AC64" s="196" t="str">
        <f t="shared" si="11"/>
        <v/>
      </c>
    </row>
    <row r="65" hidden="1" spans="1:29">
      <c r="A65" s="181">
        <v>64</v>
      </c>
      <c r="B65" s="181" t="s">
        <v>166</v>
      </c>
      <c r="C65" s="181" t="s">
        <v>129</v>
      </c>
      <c r="D65" s="181" t="s">
        <v>167</v>
      </c>
      <c r="E65" s="206">
        <v>91</v>
      </c>
      <c r="F65" s="206">
        <v>18.1</v>
      </c>
      <c r="G65" s="206">
        <v>72.9</v>
      </c>
      <c r="H65" s="206">
        <v>0</v>
      </c>
      <c r="I65" s="185" t="str">
        <f t="shared" si="5"/>
        <v>完工</v>
      </c>
      <c r="J65" s="208">
        <v>91</v>
      </c>
      <c r="K65" s="209">
        <f t="shared" si="6"/>
        <v>72.9</v>
      </c>
      <c r="L65" s="186"/>
      <c r="M65" s="210">
        <v>44501</v>
      </c>
      <c r="N65" s="210">
        <v>44926</v>
      </c>
      <c r="O65" s="181" t="s">
        <v>131</v>
      </c>
      <c r="P65" s="181" t="s">
        <v>33</v>
      </c>
      <c r="Q65" s="181"/>
      <c r="R65" s="186" t="s">
        <v>133</v>
      </c>
      <c r="S65" s="193">
        <f t="shared" si="0"/>
        <v>0</v>
      </c>
      <c r="T65" s="193" t="str">
        <f t="shared" si="7"/>
        <v/>
      </c>
      <c r="U65" s="175" t="str">
        <f t="shared" si="22"/>
        <v> </v>
      </c>
      <c r="V65" s="175" t="str">
        <f t="shared" si="20"/>
        <v/>
      </c>
      <c r="W65" s="175" t="str">
        <f t="shared" si="9"/>
        <v/>
      </c>
      <c r="X65" s="175" t="str">
        <f t="shared" si="10"/>
        <v/>
      </c>
      <c r="Y65" s="195" t="str">
        <f t="shared" si="14"/>
        <v/>
      </c>
      <c r="Z65" s="195" t="str">
        <f t="shared" si="3"/>
        <v/>
      </c>
      <c r="AA65" s="195" t="str">
        <f t="shared" si="4"/>
        <v/>
      </c>
      <c r="AC65" s="196" t="str">
        <f t="shared" si="11"/>
        <v/>
      </c>
    </row>
    <row r="66" hidden="1" spans="1:29">
      <c r="A66" s="181">
        <v>65</v>
      </c>
      <c r="B66" s="181" t="s">
        <v>168</v>
      </c>
      <c r="C66" s="181" t="s">
        <v>129</v>
      </c>
      <c r="D66" s="181" t="s">
        <v>169</v>
      </c>
      <c r="E66" s="206">
        <v>105</v>
      </c>
      <c r="F66" s="206">
        <v>15.5</v>
      </c>
      <c r="G66" s="206">
        <v>89.5</v>
      </c>
      <c r="H66" s="206">
        <v>0</v>
      </c>
      <c r="I66" s="185" t="str">
        <f t="shared" si="5"/>
        <v>完工</v>
      </c>
      <c r="J66" s="208">
        <v>105</v>
      </c>
      <c r="K66" s="209">
        <f t="shared" si="6"/>
        <v>89.5</v>
      </c>
      <c r="L66" s="186"/>
      <c r="M66" s="210">
        <v>44501</v>
      </c>
      <c r="N66" s="210">
        <v>44926</v>
      </c>
      <c r="O66" s="181" t="s">
        <v>131</v>
      </c>
      <c r="P66" s="181" t="s">
        <v>33</v>
      </c>
      <c r="Q66" s="181"/>
      <c r="R66" s="186" t="s">
        <v>133</v>
      </c>
      <c r="S66" s="193">
        <f t="shared" ref="S66:S129" si="23">E66-F66-G66-H66</f>
        <v>0</v>
      </c>
      <c r="T66" s="193" t="str">
        <f t="shared" si="7"/>
        <v/>
      </c>
      <c r="U66" s="175" t="str">
        <f t="shared" si="22"/>
        <v> </v>
      </c>
      <c r="V66" s="175" t="str">
        <f t="shared" si="20"/>
        <v/>
      </c>
      <c r="W66" s="175" t="str">
        <f t="shared" si="9"/>
        <v/>
      </c>
      <c r="X66" s="175" t="str">
        <f t="shared" si="10"/>
        <v/>
      </c>
      <c r="Y66" s="195" t="str">
        <f t="shared" si="14"/>
        <v/>
      </c>
      <c r="Z66" s="195" t="str">
        <f t="shared" ref="Z66:Z129" si="24">IF(I66="完工","",ROUND(K66/G66,3))</f>
        <v/>
      </c>
      <c r="AA66" s="195" t="str">
        <f t="shared" ref="AA66:AA129" si="25">IF(I66="完工","",Z66-Y66)</f>
        <v/>
      </c>
      <c r="AC66" s="196" t="str">
        <f t="shared" si="11"/>
        <v/>
      </c>
    </row>
    <row r="67" hidden="1" spans="1:29">
      <c r="A67" s="181">
        <v>66</v>
      </c>
      <c r="B67" s="181" t="s">
        <v>170</v>
      </c>
      <c r="C67" s="181" t="s">
        <v>129</v>
      </c>
      <c r="D67" s="181" t="s">
        <v>171</v>
      </c>
      <c r="E67" s="206">
        <v>186</v>
      </c>
      <c r="F67" s="206">
        <v>20.6</v>
      </c>
      <c r="G67" s="206">
        <v>165.4</v>
      </c>
      <c r="H67" s="206">
        <v>0</v>
      </c>
      <c r="I67" s="185" t="str">
        <f t="shared" ref="I67:I130" si="26">IF(E67=0,"完工",IF(J67&gt;0,IF(J67=E67,"完工","在建"),"未开工"))</f>
        <v>完工</v>
      </c>
      <c r="J67" s="208">
        <v>186</v>
      </c>
      <c r="K67" s="209">
        <f t="shared" ref="K67:K130" si="27">IF(G67=0,"",J67-F67)</f>
        <v>165.4</v>
      </c>
      <c r="L67" s="186"/>
      <c r="M67" s="210">
        <v>44501</v>
      </c>
      <c r="N67" s="210">
        <v>44926</v>
      </c>
      <c r="O67" s="181" t="s">
        <v>131</v>
      </c>
      <c r="P67" s="181" t="s">
        <v>33</v>
      </c>
      <c r="Q67" s="181"/>
      <c r="R67" s="186" t="s">
        <v>133</v>
      </c>
      <c r="S67" s="193">
        <f t="shared" si="23"/>
        <v>0</v>
      </c>
      <c r="T67" s="193" t="str">
        <f t="shared" ref="T67:T130" si="28">IF(I67="完工","",J67-F67-K67)</f>
        <v/>
      </c>
      <c r="U67" s="175" t="str">
        <f t="shared" si="22"/>
        <v> </v>
      </c>
      <c r="V67" s="175" t="str">
        <f t="shared" si="20"/>
        <v/>
      </c>
      <c r="W67" s="175" t="str">
        <f t="shared" ref="W67:W130" si="29">IF(I67="完工","",12-U67-V67)</f>
        <v/>
      </c>
      <c r="X67" s="175" t="str">
        <f t="shared" ref="X67:X130" si="30">IF(I67="完工","",$AB$2-U67)</f>
        <v/>
      </c>
      <c r="Y67" s="195" t="str">
        <f t="shared" si="14"/>
        <v/>
      </c>
      <c r="Z67" s="195" t="str">
        <f t="shared" si="24"/>
        <v/>
      </c>
      <c r="AA67" s="195" t="str">
        <f t="shared" si="25"/>
        <v/>
      </c>
      <c r="AC67" s="196" t="str">
        <f t="shared" ref="AC67:AC130" si="31">IF(E67=0,"",IF(ROUND(J67/E67,3)=1,"",ROUND(J67/E67,3)))</f>
        <v/>
      </c>
    </row>
    <row r="68" hidden="1" spans="1:29">
      <c r="A68" s="181">
        <v>67</v>
      </c>
      <c r="B68" s="181" t="s">
        <v>172</v>
      </c>
      <c r="C68" s="181" t="s">
        <v>129</v>
      </c>
      <c r="D68" s="181" t="s">
        <v>173</v>
      </c>
      <c r="E68" s="206">
        <v>380</v>
      </c>
      <c r="F68" s="206">
        <v>0</v>
      </c>
      <c r="G68" s="206">
        <v>380</v>
      </c>
      <c r="H68" s="206">
        <v>0</v>
      </c>
      <c r="I68" s="185" t="str">
        <f t="shared" si="26"/>
        <v>在建</v>
      </c>
      <c r="J68" s="208">
        <v>186</v>
      </c>
      <c r="K68" s="209">
        <f t="shared" si="27"/>
        <v>186</v>
      </c>
      <c r="L68" s="186"/>
      <c r="M68" s="210">
        <v>44633</v>
      </c>
      <c r="N68" s="210">
        <v>44926</v>
      </c>
      <c r="O68" s="181" t="s">
        <v>131</v>
      </c>
      <c r="P68" s="181" t="s">
        <v>33</v>
      </c>
      <c r="Q68" s="181"/>
      <c r="R68" s="186" t="s">
        <v>133</v>
      </c>
      <c r="S68" s="193">
        <f t="shared" si="23"/>
        <v>0</v>
      </c>
      <c r="T68" s="193">
        <f t="shared" si="28"/>
        <v>0</v>
      </c>
      <c r="U68" s="175">
        <f t="shared" ref="U68:U70" si="32">IF(I68="完工"," ",2)</f>
        <v>2</v>
      </c>
      <c r="V68" s="175">
        <f t="shared" si="20"/>
        <v>0</v>
      </c>
      <c r="W68" s="175">
        <f t="shared" si="29"/>
        <v>10</v>
      </c>
      <c r="X68" s="175">
        <f t="shared" si="30"/>
        <v>4.5</v>
      </c>
      <c r="Y68" s="195">
        <f t="shared" si="14"/>
        <v>0.45</v>
      </c>
      <c r="Z68" s="195">
        <f t="shared" si="24"/>
        <v>0.489</v>
      </c>
      <c r="AA68" s="195">
        <f t="shared" si="25"/>
        <v>0.039</v>
      </c>
      <c r="AC68" s="196">
        <f t="shared" si="31"/>
        <v>0.489</v>
      </c>
    </row>
    <row r="69" hidden="1" spans="1:29">
      <c r="A69" s="181">
        <v>68</v>
      </c>
      <c r="B69" s="181" t="s">
        <v>174</v>
      </c>
      <c r="C69" s="181" t="s">
        <v>129</v>
      </c>
      <c r="D69" s="181" t="s">
        <v>175</v>
      </c>
      <c r="E69" s="206">
        <v>204</v>
      </c>
      <c r="F69" s="206">
        <v>0</v>
      </c>
      <c r="G69" s="206">
        <v>204</v>
      </c>
      <c r="H69" s="206">
        <v>0</v>
      </c>
      <c r="I69" s="185" t="str">
        <f t="shared" si="26"/>
        <v>完工</v>
      </c>
      <c r="J69" s="208">
        <v>204</v>
      </c>
      <c r="K69" s="209">
        <f t="shared" si="27"/>
        <v>204</v>
      </c>
      <c r="L69" s="186"/>
      <c r="M69" s="210">
        <v>44633</v>
      </c>
      <c r="N69" s="210">
        <v>44926</v>
      </c>
      <c r="O69" s="181" t="s">
        <v>131</v>
      </c>
      <c r="P69" s="181" t="s">
        <v>33</v>
      </c>
      <c r="Q69" s="181"/>
      <c r="R69" s="186" t="s">
        <v>133</v>
      </c>
      <c r="S69" s="193">
        <f t="shared" si="23"/>
        <v>0</v>
      </c>
      <c r="T69" s="193" t="str">
        <f t="shared" si="28"/>
        <v/>
      </c>
      <c r="U69" s="175" t="str">
        <f t="shared" si="32"/>
        <v> </v>
      </c>
      <c r="V69" s="175" t="str">
        <f t="shared" si="20"/>
        <v/>
      </c>
      <c r="W69" s="175" t="str">
        <f t="shared" si="29"/>
        <v/>
      </c>
      <c r="X69" s="175" t="str">
        <f t="shared" si="30"/>
        <v/>
      </c>
      <c r="Y69" s="195" t="str">
        <f t="shared" si="14"/>
        <v/>
      </c>
      <c r="Z69" s="195" t="str">
        <f t="shared" si="24"/>
        <v/>
      </c>
      <c r="AA69" s="195" t="str">
        <f t="shared" si="25"/>
        <v/>
      </c>
      <c r="AC69" s="196" t="str">
        <f t="shared" si="31"/>
        <v/>
      </c>
    </row>
    <row r="70" hidden="1" spans="1:29">
      <c r="A70" s="181">
        <v>69</v>
      </c>
      <c r="B70" s="181" t="s">
        <v>176</v>
      </c>
      <c r="C70" s="181" t="s">
        <v>129</v>
      </c>
      <c r="D70" s="181" t="s">
        <v>175</v>
      </c>
      <c r="E70" s="206">
        <v>204</v>
      </c>
      <c r="F70" s="206">
        <v>0</v>
      </c>
      <c r="G70" s="206">
        <v>204</v>
      </c>
      <c r="H70" s="206">
        <v>0</v>
      </c>
      <c r="I70" s="185" t="str">
        <f t="shared" si="26"/>
        <v>完工</v>
      </c>
      <c r="J70" s="208">
        <v>204</v>
      </c>
      <c r="K70" s="209">
        <f t="shared" si="27"/>
        <v>204</v>
      </c>
      <c r="L70" s="186"/>
      <c r="M70" s="210">
        <v>44633</v>
      </c>
      <c r="N70" s="210">
        <v>44926</v>
      </c>
      <c r="O70" s="181" t="s">
        <v>131</v>
      </c>
      <c r="P70" s="181" t="s">
        <v>33</v>
      </c>
      <c r="Q70" s="181"/>
      <c r="R70" s="186" t="s">
        <v>133</v>
      </c>
      <c r="S70" s="193">
        <f t="shared" si="23"/>
        <v>0</v>
      </c>
      <c r="T70" s="193" t="str">
        <f t="shared" si="28"/>
        <v/>
      </c>
      <c r="U70" s="175" t="str">
        <f t="shared" si="32"/>
        <v> </v>
      </c>
      <c r="V70" s="175" t="str">
        <f t="shared" si="20"/>
        <v/>
      </c>
      <c r="W70" s="175" t="str">
        <f t="shared" si="29"/>
        <v/>
      </c>
      <c r="X70" s="175" t="str">
        <f t="shared" si="30"/>
        <v/>
      </c>
      <c r="Y70" s="195" t="str">
        <f t="shared" si="14"/>
        <v/>
      </c>
      <c r="Z70" s="195" t="str">
        <f t="shared" si="24"/>
        <v/>
      </c>
      <c r="AA70" s="195" t="str">
        <f t="shared" si="25"/>
        <v/>
      </c>
      <c r="AC70" s="196" t="str">
        <f t="shared" si="31"/>
        <v/>
      </c>
    </row>
    <row r="71" hidden="1" spans="1:29">
      <c r="A71" s="181">
        <v>70</v>
      </c>
      <c r="B71" s="181" t="s">
        <v>177</v>
      </c>
      <c r="C71" s="181" t="s">
        <v>129</v>
      </c>
      <c r="D71" s="181" t="s">
        <v>178</v>
      </c>
      <c r="E71" s="206">
        <v>1660</v>
      </c>
      <c r="F71" s="206">
        <v>450</v>
      </c>
      <c r="G71" s="206">
        <v>1210</v>
      </c>
      <c r="H71" s="206">
        <v>0</v>
      </c>
      <c r="I71" s="185" t="str">
        <f t="shared" si="26"/>
        <v>完工</v>
      </c>
      <c r="J71" s="208">
        <v>1660</v>
      </c>
      <c r="K71" s="209">
        <f t="shared" si="27"/>
        <v>1210</v>
      </c>
      <c r="L71" s="186"/>
      <c r="M71" s="210">
        <v>44530</v>
      </c>
      <c r="N71" s="210">
        <v>44742</v>
      </c>
      <c r="O71" s="181" t="s">
        <v>131</v>
      </c>
      <c r="P71" s="181" t="s">
        <v>39</v>
      </c>
      <c r="Q71" s="181"/>
      <c r="R71" s="186" t="s">
        <v>136</v>
      </c>
      <c r="S71" s="193">
        <f t="shared" si="23"/>
        <v>0</v>
      </c>
      <c r="T71" s="193" t="str">
        <f t="shared" si="28"/>
        <v/>
      </c>
      <c r="U71" s="175" t="str">
        <f t="shared" ref="U71:U102" si="33">IF(I71="完工"," ",0)</f>
        <v> </v>
      </c>
      <c r="V71" s="175" t="str">
        <f t="shared" ref="V71:V73" si="34">IF(I71="完工","",6)</f>
        <v/>
      </c>
      <c r="W71" s="175" t="str">
        <f t="shared" si="29"/>
        <v/>
      </c>
      <c r="X71" s="175" t="str">
        <f t="shared" si="30"/>
        <v/>
      </c>
      <c r="Y71" s="195" t="str">
        <f t="shared" si="14"/>
        <v/>
      </c>
      <c r="Z71" s="195" t="str">
        <f t="shared" si="24"/>
        <v/>
      </c>
      <c r="AA71" s="195" t="str">
        <f t="shared" si="25"/>
        <v/>
      </c>
      <c r="AC71" s="196" t="str">
        <f t="shared" si="31"/>
        <v/>
      </c>
    </row>
    <row r="72" hidden="1" spans="1:29">
      <c r="A72" s="181">
        <v>71</v>
      </c>
      <c r="B72" s="181" t="s">
        <v>179</v>
      </c>
      <c r="C72" s="181" t="s">
        <v>129</v>
      </c>
      <c r="D72" s="181" t="s">
        <v>144</v>
      </c>
      <c r="E72" s="206">
        <v>930</v>
      </c>
      <c r="F72" s="206">
        <v>550</v>
      </c>
      <c r="G72" s="206">
        <v>380</v>
      </c>
      <c r="H72" s="206">
        <v>0</v>
      </c>
      <c r="I72" s="185" t="str">
        <f t="shared" si="26"/>
        <v>完工</v>
      </c>
      <c r="J72" s="208">
        <v>930</v>
      </c>
      <c r="K72" s="209">
        <f t="shared" si="27"/>
        <v>380</v>
      </c>
      <c r="L72" s="186"/>
      <c r="M72" s="210">
        <v>44522</v>
      </c>
      <c r="N72" s="210">
        <v>44742</v>
      </c>
      <c r="O72" s="181" t="s">
        <v>131</v>
      </c>
      <c r="P72" s="181" t="s">
        <v>39</v>
      </c>
      <c r="Q72" s="181"/>
      <c r="R72" s="186" t="s">
        <v>136</v>
      </c>
      <c r="S72" s="193">
        <f t="shared" si="23"/>
        <v>0</v>
      </c>
      <c r="T72" s="193" t="str">
        <f t="shared" si="28"/>
        <v/>
      </c>
      <c r="U72" s="175" t="str">
        <f t="shared" si="33"/>
        <v> </v>
      </c>
      <c r="V72" s="175" t="str">
        <f t="shared" si="34"/>
        <v/>
      </c>
      <c r="W72" s="175" t="str">
        <f t="shared" si="29"/>
        <v/>
      </c>
      <c r="X72" s="175" t="str">
        <f t="shared" si="30"/>
        <v/>
      </c>
      <c r="Y72" s="195" t="str">
        <f t="shared" si="14"/>
        <v/>
      </c>
      <c r="Z72" s="195" t="str">
        <f t="shared" si="24"/>
        <v/>
      </c>
      <c r="AA72" s="195" t="str">
        <f t="shared" si="25"/>
        <v/>
      </c>
      <c r="AC72" s="196" t="str">
        <f t="shared" si="31"/>
        <v/>
      </c>
    </row>
    <row r="73" hidden="1" spans="1:29">
      <c r="A73" s="181">
        <v>72</v>
      </c>
      <c r="B73" s="181" t="s">
        <v>180</v>
      </c>
      <c r="C73" s="181" t="s">
        <v>129</v>
      </c>
      <c r="D73" s="181" t="s">
        <v>181</v>
      </c>
      <c r="E73" s="206">
        <v>220</v>
      </c>
      <c r="F73" s="206">
        <v>100</v>
      </c>
      <c r="G73" s="206">
        <v>120</v>
      </c>
      <c r="H73" s="206">
        <v>0</v>
      </c>
      <c r="I73" s="185" t="str">
        <f t="shared" si="26"/>
        <v>完工</v>
      </c>
      <c r="J73" s="208">
        <v>220</v>
      </c>
      <c r="K73" s="209">
        <f t="shared" si="27"/>
        <v>120</v>
      </c>
      <c r="L73" s="186"/>
      <c r="M73" s="210">
        <v>44522</v>
      </c>
      <c r="N73" s="210">
        <v>44742</v>
      </c>
      <c r="O73" s="181" t="s">
        <v>131</v>
      </c>
      <c r="P73" s="181" t="s">
        <v>39</v>
      </c>
      <c r="Q73" s="181"/>
      <c r="R73" s="186" t="s">
        <v>136</v>
      </c>
      <c r="S73" s="193">
        <f t="shared" si="23"/>
        <v>0</v>
      </c>
      <c r="T73" s="193" t="str">
        <f t="shared" si="28"/>
        <v/>
      </c>
      <c r="U73" s="175" t="str">
        <f t="shared" si="33"/>
        <v> </v>
      </c>
      <c r="V73" s="175" t="str">
        <f t="shared" si="34"/>
        <v/>
      </c>
      <c r="W73" s="175" t="str">
        <f t="shared" si="29"/>
        <v/>
      </c>
      <c r="X73" s="175" t="str">
        <f t="shared" si="30"/>
        <v/>
      </c>
      <c r="Y73" s="195" t="str">
        <f t="shared" si="14"/>
        <v/>
      </c>
      <c r="Z73" s="195" t="str">
        <f t="shared" si="24"/>
        <v/>
      </c>
      <c r="AA73" s="195" t="str">
        <f t="shared" si="25"/>
        <v/>
      </c>
      <c r="AC73" s="196" t="str">
        <f t="shared" si="31"/>
        <v/>
      </c>
    </row>
    <row r="74" hidden="1" spans="1:29">
      <c r="A74" s="181">
        <v>73</v>
      </c>
      <c r="B74" s="181" t="s">
        <v>182</v>
      </c>
      <c r="C74" s="181" t="s">
        <v>129</v>
      </c>
      <c r="D74" s="181" t="s">
        <v>183</v>
      </c>
      <c r="E74" s="206">
        <v>2179.046</v>
      </c>
      <c r="F74" s="206">
        <v>50</v>
      </c>
      <c r="G74" s="206">
        <v>2129.046</v>
      </c>
      <c r="H74" s="206">
        <v>0</v>
      </c>
      <c r="I74" s="185" t="str">
        <f t="shared" si="26"/>
        <v>完工</v>
      </c>
      <c r="J74" s="208">
        <v>2179.046</v>
      </c>
      <c r="K74" s="209">
        <f t="shared" si="27"/>
        <v>2129.046</v>
      </c>
      <c r="L74" s="186"/>
      <c r="M74" s="210">
        <v>44550</v>
      </c>
      <c r="N74" s="210">
        <v>44926</v>
      </c>
      <c r="O74" s="181" t="s">
        <v>131</v>
      </c>
      <c r="P74" s="181" t="s">
        <v>36</v>
      </c>
      <c r="Q74" s="181"/>
      <c r="R74" s="186" t="s">
        <v>133</v>
      </c>
      <c r="S74" s="193">
        <f t="shared" si="23"/>
        <v>0</v>
      </c>
      <c r="T74" s="193" t="str">
        <f t="shared" si="28"/>
        <v/>
      </c>
      <c r="U74" s="175" t="str">
        <f t="shared" si="33"/>
        <v> </v>
      </c>
      <c r="V74" s="175" t="str">
        <f t="shared" ref="V74:V79" si="35">IF(I74="完工","",0)</f>
        <v/>
      </c>
      <c r="W74" s="175" t="str">
        <f t="shared" si="29"/>
        <v/>
      </c>
      <c r="X74" s="175" t="str">
        <f t="shared" si="30"/>
        <v/>
      </c>
      <c r="Y74" s="195" t="str">
        <f t="shared" si="14"/>
        <v/>
      </c>
      <c r="Z74" s="195" t="str">
        <f t="shared" si="24"/>
        <v/>
      </c>
      <c r="AA74" s="195" t="str">
        <f t="shared" si="25"/>
        <v/>
      </c>
      <c r="AC74" s="196" t="str">
        <f t="shared" si="31"/>
        <v/>
      </c>
    </row>
    <row r="75" hidden="1" spans="1:29">
      <c r="A75" s="181">
        <v>74</v>
      </c>
      <c r="B75" s="181" t="s">
        <v>184</v>
      </c>
      <c r="C75" s="181" t="s">
        <v>129</v>
      </c>
      <c r="D75" s="181" t="s">
        <v>185</v>
      </c>
      <c r="E75" s="206">
        <v>2157</v>
      </c>
      <c r="F75" s="206">
        <v>30</v>
      </c>
      <c r="G75" s="206">
        <v>2127</v>
      </c>
      <c r="H75" s="206">
        <v>0</v>
      </c>
      <c r="I75" s="185" t="str">
        <f t="shared" si="26"/>
        <v>完工</v>
      </c>
      <c r="J75" s="208">
        <v>2157</v>
      </c>
      <c r="K75" s="209">
        <f t="shared" si="27"/>
        <v>2127</v>
      </c>
      <c r="L75" s="186"/>
      <c r="M75" s="210">
        <v>44560</v>
      </c>
      <c r="N75" s="210">
        <v>44926</v>
      </c>
      <c r="O75" s="181" t="s">
        <v>131</v>
      </c>
      <c r="P75" s="181" t="s">
        <v>36</v>
      </c>
      <c r="Q75" s="181"/>
      <c r="R75" s="186" t="s">
        <v>133</v>
      </c>
      <c r="S75" s="193">
        <f t="shared" si="23"/>
        <v>0</v>
      </c>
      <c r="T75" s="193" t="str">
        <f t="shared" si="28"/>
        <v/>
      </c>
      <c r="U75" s="175" t="str">
        <f t="shared" si="33"/>
        <v> </v>
      </c>
      <c r="V75" s="175" t="str">
        <f t="shared" si="35"/>
        <v/>
      </c>
      <c r="W75" s="175" t="str">
        <f t="shared" si="29"/>
        <v/>
      </c>
      <c r="X75" s="175" t="str">
        <f t="shared" si="30"/>
        <v/>
      </c>
      <c r="Y75" s="195" t="str">
        <f t="shared" si="14"/>
        <v/>
      </c>
      <c r="Z75" s="195" t="str">
        <f t="shared" si="24"/>
        <v/>
      </c>
      <c r="AA75" s="195" t="str">
        <f t="shared" si="25"/>
        <v/>
      </c>
      <c r="AC75" s="196" t="str">
        <f t="shared" si="31"/>
        <v/>
      </c>
    </row>
    <row r="76" hidden="1" spans="1:29">
      <c r="A76" s="181">
        <v>75</v>
      </c>
      <c r="B76" s="181" t="s">
        <v>186</v>
      </c>
      <c r="C76" s="181" t="s">
        <v>129</v>
      </c>
      <c r="D76" s="181" t="s">
        <v>187</v>
      </c>
      <c r="E76" s="206">
        <v>13730</v>
      </c>
      <c r="F76" s="206">
        <v>2899</v>
      </c>
      <c r="G76" s="206">
        <v>10831</v>
      </c>
      <c r="H76" s="206">
        <v>0</v>
      </c>
      <c r="I76" s="185" t="str">
        <f t="shared" si="26"/>
        <v>在建</v>
      </c>
      <c r="J76" s="208">
        <v>10700</v>
      </c>
      <c r="K76" s="209">
        <f t="shared" si="27"/>
        <v>7801</v>
      </c>
      <c r="L76" s="186"/>
      <c r="M76" s="210">
        <v>44470</v>
      </c>
      <c r="N76" s="210">
        <v>44926</v>
      </c>
      <c r="O76" s="181" t="s">
        <v>131</v>
      </c>
      <c r="P76" s="181" t="s">
        <v>42</v>
      </c>
      <c r="Q76" s="181"/>
      <c r="R76" s="186" t="s">
        <v>133</v>
      </c>
      <c r="S76" s="193">
        <f t="shared" si="23"/>
        <v>0</v>
      </c>
      <c r="T76" s="193">
        <f t="shared" si="28"/>
        <v>0</v>
      </c>
      <c r="U76" s="175">
        <f t="shared" si="33"/>
        <v>0</v>
      </c>
      <c r="V76" s="175">
        <f t="shared" si="35"/>
        <v>0</v>
      </c>
      <c r="W76" s="175">
        <f t="shared" si="29"/>
        <v>12</v>
      </c>
      <c r="X76" s="175">
        <f t="shared" si="30"/>
        <v>6.5</v>
      </c>
      <c r="Y76" s="195">
        <f t="shared" si="14"/>
        <v>0.542</v>
      </c>
      <c r="Z76" s="195">
        <f t="shared" si="24"/>
        <v>0.72</v>
      </c>
      <c r="AA76" s="195">
        <f t="shared" si="25"/>
        <v>0.178</v>
      </c>
      <c r="AC76" s="196">
        <f t="shared" si="31"/>
        <v>0.779</v>
      </c>
    </row>
    <row r="77" hidden="1" spans="1:29">
      <c r="A77" s="181">
        <v>76</v>
      </c>
      <c r="B77" s="181" t="s">
        <v>188</v>
      </c>
      <c r="C77" s="181" t="s">
        <v>129</v>
      </c>
      <c r="D77" s="181" t="s">
        <v>189</v>
      </c>
      <c r="E77" s="206">
        <v>1791</v>
      </c>
      <c r="F77" s="206">
        <v>128</v>
      </c>
      <c r="G77" s="206">
        <v>1663</v>
      </c>
      <c r="H77" s="206">
        <v>0</v>
      </c>
      <c r="I77" s="185" t="str">
        <f t="shared" si="26"/>
        <v>在建</v>
      </c>
      <c r="J77" s="208">
        <v>1760</v>
      </c>
      <c r="K77" s="209">
        <f t="shared" si="27"/>
        <v>1632</v>
      </c>
      <c r="L77" s="186"/>
      <c r="M77" s="210">
        <v>44523</v>
      </c>
      <c r="N77" s="210">
        <v>44926</v>
      </c>
      <c r="O77" s="181" t="s">
        <v>131</v>
      </c>
      <c r="P77" s="181" t="s">
        <v>42</v>
      </c>
      <c r="Q77" s="181"/>
      <c r="R77" s="186" t="s">
        <v>133</v>
      </c>
      <c r="S77" s="193">
        <f t="shared" si="23"/>
        <v>0</v>
      </c>
      <c r="T77" s="193">
        <f t="shared" si="28"/>
        <v>0</v>
      </c>
      <c r="U77" s="175">
        <f t="shared" si="33"/>
        <v>0</v>
      </c>
      <c r="V77" s="175">
        <f t="shared" si="35"/>
        <v>0</v>
      </c>
      <c r="W77" s="175">
        <f t="shared" si="29"/>
        <v>12</v>
      </c>
      <c r="X77" s="175">
        <f t="shared" si="30"/>
        <v>6.5</v>
      </c>
      <c r="Y77" s="195">
        <f t="shared" si="14"/>
        <v>0.542</v>
      </c>
      <c r="Z77" s="195">
        <f t="shared" si="24"/>
        <v>0.981</v>
      </c>
      <c r="AA77" s="195">
        <f t="shared" si="25"/>
        <v>0.439</v>
      </c>
      <c r="AC77" s="196">
        <f t="shared" si="31"/>
        <v>0.983</v>
      </c>
    </row>
    <row r="78" hidden="1" spans="1:29">
      <c r="A78" s="181">
        <v>77</v>
      </c>
      <c r="B78" s="181" t="s">
        <v>190</v>
      </c>
      <c r="C78" s="181" t="s">
        <v>129</v>
      </c>
      <c r="D78" s="181" t="s">
        <v>191</v>
      </c>
      <c r="E78" s="206">
        <v>1338</v>
      </c>
      <c r="F78" s="206">
        <v>225</v>
      </c>
      <c r="G78" s="206">
        <v>1113</v>
      </c>
      <c r="H78" s="206">
        <v>0</v>
      </c>
      <c r="I78" s="185" t="str">
        <f t="shared" si="26"/>
        <v>完工</v>
      </c>
      <c r="J78" s="208">
        <v>1338</v>
      </c>
      <c r="K78" s="209">
        <f t="shared" si="27"/>
        <v>1113</v>
      </c>
      <c r="L78" s="186"/>
      <c r="M78" s="210">
        <v>44523</v>
      </c>
      <c r="N78" s="210">
        <v>44926</v>
      </c>
      <c r="O78" s="181" t="s">
        <v>131</v>
      </c>
      <c r="P78" s="181" t="s">
        <v>42</v>
      </c>
      <c r="Q78" s="181"/>
      <c r="R78" s="186" t="s">
        <v>133</v>
      </c>
      <c r="S78" s="193">
        <f t="shared" si="23"/>
        <v>0</v>
      </c>
      <c r="T78" s="193" t="str">
        <f t="shared" si="28"/>
        <v/>
      </c>
      <c r="U78" s="175" t="str">
        <f t="shared" si="33"/>
        <v> </v>
      </c>
      <c r="V78" s="175" t="str">
        <f t="shared" si="35"/>
        <v/>
      </c>
      <c r="W78" s="175" t="str">
        <f t="shared" si="29"/>
        <v/>
      </c>
      <c r="X78" s="175" t="str">
        <f t="shared" si="30"/>
        <v/>
      </c>
      <c r="Y78" s="195" t="str">
        <f t="shared" si="14"/>
        <v/>
      </c>
      <c r="Z78" s="195" t="str">
        <f t="shared" si="24"/>
        <v/>
      </c>
      <c r="AA78" s="195" t="str">
        <f t="shared" si="25"/>
        <v/>
      </c>
      <c r="AC78" s="196" t="str">
        <f t="shared" si="31"/>
        <v/>
      </c>
    </row>
    <row r="79" hidden="1" spans="1:29">
      <c r="A79" s="181">
        <v>78</v>
      </c>
      <c r="B79" s="181" t="s">
        <v>192</v>
      </c>
      <c r="C79" s="181" t="s">
        <v>129</v>
      </c>
      <c r="D79" s="181" t="s">
        <v>193</v>
      </c>
      <c r="E79" s="206">
        <v>4266</v>
      </c>
      <c r="F79" s="206">
        <v>145</v>
      </c>
      <c r="G79" s="206">
        <v>4121</v>
      </c>
      <c r="H79" s="206">
        <v>0</v>
      </c>
      <c r="I79" s="185" t="str">
        <f t="shared" si="26"/>
        <v>完工</v>
      </c>
      <c r="J79" s="208">
        <v>4266</v>
      </c>
      <c r="K79" s="209">
        <f t="shared" si="27"/>
        <v>4121</v>
      </c>
      <c r="L79" s="186"/>
      <c r="M79" s="210">
        <v>44523</v>
      </c>
      <c r="N79" s="210">
        <v>44926</v>
      </c>
      <c r="O79" s="181" t="s">
        <v>131</v>
      </c>
      <c r="P79" s="181" t="s">
        <v>42</v>
      </c>
      <c r="Q79" s="181"/>
      <c r="R79" s="186" t="s">
        <v>133</v>
      </c>
      <c r="S79" s="193">
        <f t="shared" si="23"/>
        <v>0</v>
      </c>
      <c r="T79" s="193" t="str">
        <f t="shared" si="28"/>
        <v/>
      </c>
      <c r="U79" s="175" t="str">
        <f t="shared" si="33"/>
        <v> </v>
      </c>
      <c r="V79" s="175" t="str">
        <f t="shared" si="35"/>
        <v/>
      </c>
      <c r="W79" s="175" t="str">
        <f t="shared" si="29"/>
        <v/>
      </c>
      <c r="X79" s="175" t="str">
        <f t="shared" si="30"/>
        <v/>
      </c>
      <c r="Y79" s="195" t="str">
        <f t="shared" ref="Y79:Y142" si="36">IF(I79="完工","",ROUND(X79/W79,3))</f>
        <v/>
      </c>
      <c r="Z79" s="195" t="str">
        <f t="shared" si="24"/>
        <v/>
      </c>
      <c r="AA79" s="195" t="str">
        <f t="shared" si="25"/>
        <v/>
      </c>
      <c r="AC79" s="196" t="str">
        <f t="shared" si="31"/>
        <v/>
      </c>
    </row>
    <row r="80" hidden="1" spans="1:29">
      <c r="A80" s="181">
        <v>79</v>
      </c>
      <c r="B80" s="181" t="s">
        <v>194</v>
      </c>
      <c r="C80" s="181" t="s">
        <v>129</v>
      </c>
      <c r="D80" s="181" t="s">
        <v>195</v>
      </c>
      <c r="E80" s="206">
        <v>219</v>
      </c>
      <c r="F80" s="206">
        <v>219</v>
      </c>
      <c r="G80" s="206">
        <v>0</v>
      </c>
      <c r="H80" s="206">
        <v>0</v>
      </c>
      <c r="I80" s="185" t="str">
        <f t="shared" si="26"/>
        <v>完工</v>
      </c>
      <c r="J80" s="208">
        <v>219</v>
      </c>
      <c r="K80" s="209" t="str">
        <f t="shared" si="27"/>
        <v/>
      </c>
      <c r="L80" s="186"/>
      <c r="M80" s="210">
        <v>44523</v>
      </c>
      <c r="N80" s="210">
        <v>44558</v>
      </c>
      <c r="O80" s="181" t="s">
        <v>131</v>
      </c>
      <c r="P80" s="181" t="s">
        <v>42</v>
      </c>
      <c r="Q80" s="181"/>
      <c r="R80" s="186" t="s">
        <v>196</v>
      </c>
      <c r="S80" s="193">
        <f t="shared" si="23"/>
        <v>0</v>
      </c>
      <c r="T80" s="193" t="str">
        <f t="shared" si="28"/>
        <v/>
      </c>
      <c r="U80" s="175" t="str">
        <f t="shared" si="33"/>
        <v> </v>
      </c>
      <c r="V80" s="175" t="str">
        <f>IF(I80="完工","",12)</f>
        <v/>
      </c>
      <c r="W80" s="175" t="str">
        <f t="shared" si="29"/>
        <v/>
      </c>
      <c r="X80" s="175" t="str">
        <f t="shared" si="30"/>
        <v/>
      </c>
      <c r="Y80" s="195" t="str">
        <f t="shared" si="36"/>
        <v/>
      </c>
      <c r="Z80" s="195" t="str">
        <f t="shared" si="24"/>
        <v/>
      </c>
      <c r="AA80" s="195" t="str">
        <f t="shared" si="25"/>
        <v/>
      </c>
      <c r="AC80" s="196" t="str">
        <f t="shared" si="31"/>
        <v/>
      </c>
    </row>
    <row r="81" hidden="1" spans="1:29">
      <c r="A81" s="181">
        <v>80</v>
      </c>
      <c r="B81" s="181" t="s">
        <v>197</v>
      </c>
      <c r="C81" s="181" t="s">
        <v>129</v>
      </c>
      <c r="D81" s="181" t="s">
        <v>198</v>
      </c>
      <c r="E81" s="206">
        <v>140</v>
      </c>
      <c r="F81" s="206">
        <v>100</v>
      </c>
      <c r="G81" s="206">
        <v>40</v>
      </c>
      <c r="H81" s="206">
        <v>0</v>
      </c>
      <c r="I81" s="185" t="str">
        <f t="shared" si="26"/>
        <v>完工</v>
      </c>
      <c r="J81" s="208">
        <v>140</v>
      </c>
      <c r="K81" s="209">
        <f t="shared" si="27"/>
        <v>40</v>
      </c>
      <c r="L81" s="186"/>
      <c r="M81" s="210">
        <v>44522</v>
      </c>
      <c r="N81" s="210">
        <v>44742</v>
      </c>
      <c r="O81" s="181" t="s">
        <v>131</v>
      </c>
      <c r="P81" s="181" t="s">
        <v>39</v>
      </c>
      <c r="Q81" s="181"/>
      <c r="R81" s="186" t="s">
        <v>136</v>
      </c>
      <c r="S81" s="193">
        <f t="shared" si="23"/>
        <v>0</v>
      </c>
      <c r="T81" s="193" t="str">
        <f t="shared" si="28"/>
        <v/>
      </c>
      <c r="U81" s="175" t="str">
        <f t="shared" si="33"/>
        <v> </v>
      </c>
      <c r="V81" s="175" t="str">
        <f>IF(I81="完工","",6)</f>
        <v/>
      </c>
      <c r="W81" s="175" t="str">
        <f t="shared" si="29"/>
        <v/>
      </c>
      <c r="X81" s="175" t="str">
        <f t="shared" si="30"/>
        <v/>
      </c>
      <c r="Y81" s="195" t="str">
        <f t="shared" si="36"/>
        <v/>
      </c>
      <c r="Z81" s="195" t="str">
        <f t="shared" si="24"/>
        <v/>
      </c>
      <c r="AA81" s="195" t="str">
        <f t="shared" si="25"/>
        <v/>
      </c>
      <c r="AC81" s="196" t="str">
        <f t="shared" si="31"/>
        <v/>
      </c>
    </row>
    <row r="82" hidden="1" spans="1:29">
      <c r="A82" s="181">
        <v>81</v>
      </c>
      <c r="B82" s="181" t="s">
        <v>199</v>
      </c>
      <c r="C82" s="181" t="s">
        <v>129</v>
      </c>
      <c r="D82" s="181" t="s">
        <v>200</v>
      </c>
      <c r="E82" s="206">
        <v>2000</v>
      </c>
      <c r="F82" s="206">
        <v>300</v>
      </c>
      <c r="G82" s="206">
        <v>1700</v>
      </c>
      <c r="H82" s="206">
        <v>0</v>
      </c>
      <c r="I82" s="185" t="str">
        <f t="shared" si="26"/>
        <v>完工</v>
      </c>
      <c r="J82" s="208">
        <v>2000</v>
      </c>
      <c r="K82" s="209">
        <f t="shared" si="27"/>
        <v>1700</v>
      </c>
      <c r="L82" s="186"/>
      <c r="M82" s="210">
        <v>44523</v>
      </c>
      <c r="N82" s="210">
        <v>44926</v>
      </c>
      <c r="O82" s="181" t="s">
        <v>131</v>
      </c>
      <c r="P82" s="181" t="s">
        <v>42</v>
      </c>
      <c r="Q82" s="181"/>
      <c r="R82" s="186" t="s">
        <v>133</v>
      </c>
      <c r="S82" s="193">
        <f t="shared" si="23"/>
        <v>0</v>
      </c>
      <c r="T82" s="193" t="str">
        <f t="shared" si="28"/>
        <v/>
      </c>
      <c r="U82" s="175" t="str">
        <f t="shared" si="33"/>
        <v> </v>
      </c>
      <c r="V82" s="175" t="str">
        <f>IF(I82="完工","",0)</f>
        <v/>
      </c>
      <c r="W82" s="175" t="str">
        <f t="shared" si="29"/>
        <v/>
      </c>
      <c r="X82" s="175" t="str">
        <f t="shared" si="30"/>
        <v/>
      </c>
      <c r="Y82" s="195" t="str">
        <f t="shared" si="36"/>
        <v/>
      </c>
      <c r="Z82" s="195" t="str">
        <f t="shared" si="24"/>
        <v/>
      </c>
      <c r="AA82" s="195" t="str">
        <f t="shared" si="25"/>
        <v/>
      </c>
      <c r="AC82" s="196" t="str">
        <f t="shared" si="31"/>
        <v/>
      </c>
    </row>
    <row r="83" hidden="1" spans="1:29">
      <c r="A83" s="181">
        <v>82</v>
      </c>
      <c r="B83" s="181" t="s">
        <v>201</v>
      </c>
      <c r="C83" s="181" t="s">
        <v>129</v>
      </c>
      <c r="D83" s="181" t="s">
        <v>202</v>
      </c>
      <c r="E83" s="206">
        <v>3460</v>
      </c>
      <c r="F83" s="206">
        <v>3460</v>
      </c>
      <c r="G83" s="206">
        <v>0</v>
      </c>
      <c r="H83" s="206">
        <v>0</v>
      </c>
      <c r="I83" s="185" t="str">
        <f t="shared" si="26"/>
        <v>完工</v>
      </c>
      <c r="J83" s="208">
        <v>3460</v>
      </c>
      <c r="K83" s="209" t="str">
        <f t="shared" si="27"/>
        <v/>
      </c>
      <c r="L83" s="186"/>
      <c r="M83" s="210">
        <v>44464</v>
      </c>
      <c r="N83" s="210">
        <v>44742</v>
      </c>
      <c r="O83" s="181" t="s">
        <v>131</v>
      </c>
      <c r="P83" s="181" t="s">
        <v>66</v>
      </c>
      <c r="Q83" s="181"/>
      <c r="R83" s="186" t="s">
        <v>203</v>
      </c>
      <c r="S83" s="193">
        <f t="shared" si="23"/>
        <v>0</v>
      </c>
      <c r="T83" s="193" t="str">
        <f t="shared" si="28"/>
        <v/>
      </c>
      <c r="U83" s="175" t="str">
        <f t="shared" si="33"/>
        <v> </v>
      </c>
      <c r="V83" s="175" t="str">
        <f>IF(I83="完工","",6)</f>
        <v/>
      </c>
      <c r="W83" s="175" t="str">
        <f t="shared" si="29"/>
        <v/>
      </c>
      <c r="X83" s="175" t="str">
        <f t="shared" si="30"/>
        <v/>
      </c>
      <c r="Y83" s="195" t="str">
        <f t="shared" si="36"/>
        <v/>
      </c>
      <c r="Z83" s="195" t="str">
        <f t="shared" si="24"/>
        <v/>
      </c>
      <c r="AA83" s="195" t="str">
        <f t="shared" si="25"/>
        <v/>
      </c>
      <c r="AC83" s="196" t="str">
        <f t="shared" si="31"/>
        <v/>
      </c>
    </row>
    <row r="84" hidden="1" spans="1:29">
      <c r="A84" s="181">
        <v>83</v>
      </c>
      <c r="B84" s="181" t="s">
        <v>204</v>
      </c>
      <c r="C84" s="181" t="s">
        <v>129</v>
      </c>
      <c r="D84" s="181" t="s">
        <v>205</v>
      </c>
      <c r="E84" s="206">
        <v>87</v>
      </c>
      <c r="F84" s="206">
        <v>87</v>
      </c>
      <c r="G84" s="206">
        <v>0</v>
      </c>
      <c r="H84" s="206">
        <v>0</v>
      </c>
      <c r="I84" s="185" t="str">
        <f t="shared" si="26"/>
        <v>完工</v>
      </c>
      <c r="J84" s="208">
        <v>87</v>
      </c>
      <c r="K84" s="209" t="str">
        <f t="shared" si="27"/>
        <v/>
      </c>
      <c r="L84" s="186"/>
      <c r="M84" s="210">
        <v>44470</v>
      </c>
      <c r="N84" s="210">
        <v>44561</v>
      </c>
      <c r="O84" s="181" t="s">
        <v>131</v>
      </c>
      <c r="P84" s="181" t="s">
        <v>66</v>
      </c>
      <c r="Q84" s="181"/>
      <c r="R84" s="186" t="s">
        <v>196</v>
      </c>
      <c r="S84" s="193">
        <f t="shared" si="23"/>
        <v>0</v>
      </c>
      <c r="T84" s="193" t="str">
        <f t="shared" si="28"/>
        <v/>
      </c>
      <c r="U84" s="175" t="str">
        <f t="shared" si="33"/>
        <v> </v>
      </c>
      <c r="V84" s="175" t="str">
        <f t="shared" ref="V84:V147" si="37">IF(I84="完工","",12)</f>
        <v/>
      </c>
      <c r="W84" s="175" t="str">
        <f t="shared" si="29"/>
        <v/>
      </c>
      <c r="X84" s="175" t="str">
        <f t="shared" si="30"/>
        <v/>
      </c>
      <c r="Y84" s="195" t="str">
        <f t="shared" si="36"/>
        <v/>
      </c>
      <c r="Z84" s="195" t="str">
        <f t="shared" si="24"/>
        <v/>
      </c>
      <c r="AA84" s="195" t="str">
        <f t="shared" si="25"/>
        <v/>
      </c>
      <c r="AC84" s="196" t="str">
        <f t="shared" si="31"/>
        <v/>
      </c>
    </row>
    <row r="85" ht="15.75" hidden="1" spans="1:29">
      <c r="A85" s="181">
        <v>84</v>
      </c>
      <c r="B85" s="181" t="s">
        <v>206</v>
      </c>
      <c r="C85" s="181" t="s">
        <v>129</v>
      </c>
      <c r="D85" s="181" t="s">
        <v>207</v>
      </c>
      <c r="E85" s="206">
        <v>55.93</v>
      </c>
      <c r="F85" s="206">
        <v>55.93</v>
      </c>
      <c r="G85" s="206">
        <v>0</v>
      </c>
      <c r="H85" s="206">
        <v>0</v>
      </c>
      <c r="I85" s="185" t="str">
        <f t="shared" si="26"/>
        <v>完工</v>
      </c>
      <c r="J85" s="208">
        <v>55.93</v>
      </c>
      <c r="K85" s="209" t="str">
        <f t="shared" si="27"/>
        <v/>
      </c>
      <c r="L85" s="186"/>
      <c r="M85" s="210">
        <v>44470</v>
      </c>
      <c r="N85" s="210">
        <v>44561</v>
      </c>
      <c r="O85" s="181" t="s">
        <v>131</v>
      </c>
      <c r="P85" s="181" t="s">
        <v>66</v>
      </c>
      <c r="Q85" s="181"/>
      <c r="R85" s="186" t="s">
        <v>196</v>
      </c>
      <c r="S85" s="193">
        <f t="shared" si="23"/>
        <v>0</v>
      </c>
      <c r="T85" s="193" t="str">
        <f t="shared" si="28"/>
        <v/>
      </c>
      <c r="U85" s="175" t="str">
        <f t="shared" si="33"/>
        <v> </v>
      </c>
      <c r="V85" s="175" t="str">
        <f t="shared" si="37"/>
        <v/>
      </c>
      <c r="W85" s="175" t="str">
        <f t="shared" si="29"/>
        <v/>
      </c>
      <c r="X85" s="175" t="str">
        <f t="shared" si="30"/>
        <v/>
      </c>
      <c r="Y85" s="195" t="str">
        <f t="shared" si="36"/>
        <v/>
      </c>
      <c r="Z85" s="195" t="str">
        <f t="shared" si="24"/>
        <v/>
      </c>
      <c r="AA85" s="195" t="str">
        <f t="shared" si="25"/>
        <v/>
      </c>
      <c r="AC85" s="196" t="str">
        <f t="shared" si="31"/>
        <v/>
      </c>
    </row>
    <row r="86" ht="15.75" hidden="1" spans="1:29">
      <c r="A86" s="181">
        <v>85</v>
      </c>
      <c r="B86" s="181" t="s">
        <v>208</v>
      </c>
      <c r="C86" s="181" t="s">
        <v>129</v>
      </c>
      <c r="D86" s="181" t="s">
        <v>209</v>
      </c>
      <c r="E86" s="206">
        <v>23.57</v>
      </c>
      <c r="F86" s="206">
        <v>23.57</v>
      </c>
      <c r="G86" s="206">
        <v>0</v>
      </c>
      <c r="H86" s="206">
        <v>0</v>
      </c>
      <c r="I86" s="185" t="str">
        <f t="shared" si="26"/>
        <v>完工</v>
      </c>
      <c r="J86" s="208">
        <v>23.57</v>
      </c>
      <c r="K86" s="209" t="str">
        <f t="shared" si="27"/>
        <v/>
      </c>
      <c r="L86" s="186"/>
      <c r="M86" s="210">
        <v>44470</v>
      </c>
      <c r="N86" s="210">
        <v>44561</v>
      </c>
      <c r="O86" s="181" t="s">
        <v>131</v>
      </c>
      <c r="P86" s="181" t="s">
        <v>66</v>
      </c>
      <c r="Q86" s="181"/>
      <c r="R86" s="186" t="s">
        <v>196</v>
      </c>
      <c r="S86" s="193">
        <f t="shared" si="23"/>
        <v>0</v>
      </c>
      <c r="T86" s="193" t="str">
        <f t="shared" si="28"/>
        <v/>
      </c>
      <c r="U86" s="175" t="str">
        <f t="shared" si="33"/>
        <v> </v>
      </c>
      <c r="V86" s="175" t="str">
        <f t="shared" si="37"/>
        <v/>
      </c>
      <c r="W86" s="175" t="str">
        <f t="shared" si="29"/>
        <v/>
      </c>
      <c r="X86" s="175" t="str">
        <f t="shared" si="30"/>
        <v/>
      </c>
      <c r="Y86" s="195" t="str">
        <f t="shared" si="36"/>
        <v/>
      </c>
      <c r="Z86" s="195" t="str">
        <f t="shared" si="24"/>
        <v/>
      </c>
      <c r="AA86" s="195" t="str">
        <f t="shared" si="25"/>
        <v/>
      </c>
      <c r="AC86" s="196" t="str">
        <f t="shared" si="31"/>
        <v/>
      </c>
    </row>
    <row r="87" ht="14.25" hidden="1" spans="1:29">
      <c r="A87" s="181">
        <v>86</v>
      </c>
      <c r="B87" s="181" t="s">
        <v>210</v>
      </c>
      <c r="C87" s="181" t="s">
        <v>129</v>
      </c>
      <c r="D87" s="181" t="s">
        <v>211</v>
      </c>
      <c r="E87" s="206">
        <v>23.48</v>
      </c>
      <c r="F87" s="206">
        <v>23.48</v>
      </c>
      <c r="G87" s="206">
        <v>0</v>
      </c>
      <c r="H87" s="206">
        <v>0</v>
      </c>
      <c r="I87" s="185" t="str">
        <f t="shared" si="26"/>
        <v>完工</v>
      </c>
      <c r="J87" s="208">
        <v>23.48</v>
      </c>
      <c r="K87" s="209" t="str">
        <f t="shared" si="27"/>
        <v/>
      </c>
      <c r="L87" s="186"/>
      <c r="M87" s="210">
        <v>44470</v>
      </c>
      <c r="N87" s="210">
        <v>44561</v>
      </c>
      <c r="O87" s="181" t="s">
        <v>131</v>
      </c>
      <c r="P87" s="181" t="s">
        <v>66</v>
      </c>
      <c r="Q87" s="181"/>
      <c r="R87" s="186" t="s">
        <v>196</v>
      </c>
      <c r="S87" s="193">
        <f t="shared" si="23"/>
        <v>0</v>
      </c>
      <c r="T87" s="193" t="str">
        <f t="shared" si="28"/>
        <v/>
      </c>
      <c r="U87" s="175" t="str">
        <f t="shared" si="33"/>
        <v> </v>
      </c>
      <c r="V87" s="175" t="str">
        <f t="shared" si="37"/>
        <v/>
      </c>
      <c r="W87" s="175" t="str">
        <f t="shared" si="29"/>
        <v/>
      </c>
      <c r="X87" s="175" t="str">
        <f t="shared" si="30"/>
        <v/>
      </c>
      <c r="Y87" s="195" t="str">
        <f t="shared" si="36"/>
        <v/>
      </c>
      <c r="Z87" s="195" t="str">
        <f t="shared" si="24"/>
        <v/>
      </c>
      <c r="AA87" s="195" t="str">
        <f t="shared" si="25"/>
        <v/>
      </c>
      <c r="AC87" s="196" t="str">
        <f t="shared" si="31"/>
        <v/>
      </c>
    </row>
    <row r="88" ht="15.75" hidden="1" spans="1:29">
      <c r="A88" s="181">
        <v>87</v>
      </c>
      <c r="B88" s="181" t="s">
        <v>212</v>
      </c>
      <c r="C88" s="181" t="s">
        <v>129</v>
      </c>
      <c r="D88" s="181" t="s">
        <v>213</v>
      </c>
      <c r="E88" s="206">
        <v>34.56</v>
      </c>
      <c r="F88" s="206">
        <v>34.56</v>
      </c>
      <c r="G88" s="206">
        <v>0</v>
      </c>
      <c r="H88" s="206">
        <v>0</v>
      </c>
      <c r="I88" s="185" t="str">
        <f t="shared" si="26"/>
        <v>完工</v>
      </c>
      <c r="J88" s="208">
        <v>34.56</v>
      </c>
      <c r="K88" s="209" t="str">
        <f t="shared" si="27"/>
        <v/>
      </c>
      <c r="L88" s="186"/>
      <c r="M88" s="210">
        <v>44470</v>
      </c>
      <c r="N88" s="210">
        <v>44561</v>
      </c>
      <c r="O88" s="181" t="s">
        <v>131</v>
      </c>
      <c r="P88" s="181" t="s">
        <v>66</v>
      </c>
      <c r="Q88" s="181"/>
      <c r="R88" s="186" t="s">
        <v>196</v>
      </c>
      <c r="S88" s="193">
        <f t="shared" si="23"/>
        <v>0</v>
      </c>
      <c r="T88" s="193" t="str">
        <f t="shared" si="28"/>
        <v/>
      </c>
      <c r="U88" s="175" t="str">
        <f t="shared" si="33"/>
        <v> </v>
      </c>
      <c r="V88" s="175" t="str">
        <f t="shared" si="37"/>
        <v/>
      </c>
      <c r="W88" s="175" t="str">
        <f t="shared" si="29"/>
        <v/>
      </c>
      <c r="X88" s="175" t="str">
        <f t="shared" si="30"/>
        <v/>
      </c>
      <c r="Y88" s="195" t="str">
        <f t="shared" si="36"/>
        <v/>
      </c>
      <c r="Z88" s="195" t="str">
        <f t="shared" si="24"/>
        <v/>
      </c>
      <c r="AA88" s="195" t="str">
        <f t="shared" si="25"/>
        <v/>
      </c>
      <c r="AC88" s="196" t="str">
        <f t="shared" si="31"/>
        <v/>
      </c>
    </row>
    <row r="89" hidden="1" spans="1:29">
      <c r="A89" s="181">
        <v>88</v>
      </c>
      <c r="B89" s="181" t="s">
        <v>214</v>
      </c>
      <c r="C89" s="181" t="s">
        <v>215</v>
      </c>
      <c r="D89" s="181" t="s">
        <v>216</v>
      </c>
      <c r="E89" s="206">
        <v>10</v>
      </c>
      <c r="F89" s="206">
        <v>0</v>
      </c>
      <c r="G89" s="206">
        <v>10</v>
      </c>
      <c r="H89" s="206">
        <v>0</v>
      </c>
      <c r="I89" s="185" t="str">
        <f t="shared" si="26"/>
        <v>完工</v>
      </c>
      <c r="J89" s="208">
        <v>10</v>
      </c>
      <c r="K89" s="209">
        <f t="shared" si="27"/>
        <v>10</v>
      </c>
      <c r="L89" s="186"/>
      <c r="M89" s="210">
        <v>44440</v>
      </c>
      <c r="N89" s="210">
        <v>44561</v>
      </c>
      <c r="O89" s="181" t="s">
        <v>217</v>
      </c>
      <c r="P89" s="181" t="s">
        <v>66</v>
      </c>
      <c r="Q89" s="181"/>
      <c r="R89" s="186"/>
      <c r="S89" s="193">
        <f t="shared" si="23"/>
        <v>0</v>
      </c>
      <c r="T89" s="193" t="str">
        <f t="shared" si="28"/>
        <v/>
      </c>
      <c r="U89" s="175" t="str">
        <f t="shared" si="33"/>
        <v> </v>
      </c>
      <c r="V89" s="175" t="str">
        <f t="shared" si="37"/>
        <v/>
      </c>
      <c r="W89" s="175" t="str">
        <f t="shared" si="29"/>
        <v/>
      </c>
      <c r="X89" s="175" t="str">
        <f t="shared" si="30"/>
        <v/>
      </c>
      <c r="Y89" s="195" t="str">
        <f t="shared" si="36"/>
        <v/>
      </c>
      <c r="Z89" s="195" t="str">
        <f t="shared" si="24"/>
        <v/>
      </c>
      <c r="AA89" s="195" t="str">
        <f t="shared" si="25"/>
        <v/>
      </c>
      <c r="AC89" s="196" t="str">
        <f t="shared" si="31"/>
        <v/>
      </c>
    </row>
    <row r="90" hidden="1" spans="1:29">
      <c r="A90" s="181">
        <v>89</v>
      </c>
      <c r="B90" s="181" t="s">
        <v>214</v>
      </c>
      <c r="C90" s="181" t="s">
        <v>215</v>
      </c>
      <c r="D90" s="181" t="s">
        <v>218</v>
      </c>
      <c r="E90" s="206">
        <v>9</v>
      </c>
      <c r="F90" s="206">
        <v>9</v>
      </c>
      <c r="G90" s="206">
        <v>0</v>
      </c>
      <c r="H90" s="206">
        <v>0</v>
      </c>
      <c r="I90" s="185" t="str">
        <f t="shared" si="26"/>
        <v>完工</v>
      </c>
      <c r="J90" s="208">
        <v>9</v>
      </c>
      <c r="K90" s="209" t="str">
        <f t="shared" si="27"/>
        <v/>
      </c>
      <c r="L90" s="186"/>
      <c r="M90" s="210">
        <v>44409</v>
      </c>
      <c r="N90" s="210">
        <v>44409</v>
      </c>
      <c r="O90" s="181" t="s">
        <v>217</v>
      </c>
      <c r="P90" s="181" t="s">
        <v>66</v>
      </c>
      <c r="Q90" s="181"/>
      <c r="R90" s="186"/>
      <c r="S90" s="193">
        <f t="shared" si="23"/>
        <v>0</v>
      </c>
      <c r="T90" s="193" t="str">
        <f t="shared" si="28"/>
        <v/>
      </c>
      <c r="U90" s="175" t="str">
        <f t="shared" si="33"/>
        <v> </v>
      </c>
      <c r="V90" s="175" t="str">
        <f t="shared" si="37"/>
        <v/>
      </c>
      <c r="W90" s="175" t="str">
        <f t="shared" si="29"/>
        <v/>
      </c>
      <c r="X90" s="175" t="str">
        <f t="shared" si="30"/>
        <v/>
      </c>
      <c r="Y90" s="195" t="str">
        <f t="shared" si="36"/>
        <v/>
      </c>
      <c r="Z90" s="195" t="str">
        <f t="shared" si="24"/>
        <v/>
      </c>
      <c r="AA90" s="195" t="str">
        <f t="shared" si="25"/>
        <v/>
      </c>
      <c r="AC90" s="196" t="str">
        <f t="shared" si="31"/>
        <v/>
      </c>
    </row>
    <row r="91" hidden="1" spans="1:29">
      <c r="A91" s="181">
        <v>90</v>
      </c>
      <c r="B91" s="181" t="s">
        <v>214</v>
      </c>
      <c r="C91" s="181" t="s">
        <v>215</v>
      </c>
      <c r="D91" s="181" t="s">
        <v>219</v>
      </c>
      <c r="E91" s="206">
        <v>5.5</v>
      </c>
      <c r="F91" s="206">
        <v>5.5</v>
      </c>
      <c r="G91" s="206">
        <v>0</v>
      </c>
      <c r="H91" s="206">
        <v>0</v>
      </c>
      <c r="I91" s="185" t="str">
        <f t="shared" si="26"/>
        <v>完工</v>
      </c>
      <c r="J91" s="208">
        <v>5.5</v>
      </c>
      <c r="K91" s="209" t="str">
        <f t="shared" si="27"/>
        <v/>
      </c>
      <c r="L91" s="186"/>
      <c r="M91" s="210">
        <v>44440</v>
      </c>
      <c r="N91" s="210">
        <v>44440</v>
      </c>
      <c r="O91" s="181" t="s">
        <v>217</v>
      </c>
      <c r="P91" s="181" t="s">
        <v>66</v>
      </c>
      <c r="Q91" s="181"/>
      <c r="R91" s="186"/>
      <c r="S91" s="193">
        <f t="shared" si="23"/>
        <v>0</v>
      </c>
      <c r="T91" s="193" t="str">
        <f t="shared" si="28"/>
        <v/>
      </c>
      <c r="U91" s="175" t="str">
        <f t="shared" si="33"/>
        <v> </v>
      </c>
      <c r="V91" s="175" t="str">
        <f t="shared" si="37"/>
        <v/>
      </c>
      <c r="W91" s="175" t="str">
        <f t="shared" si="29"/>
        <v/>
      </c>
      <c r="X91" s="175" t="str">
        <f t="shared" si="30"/>
        <v/>
      </c>
      <c r="Y91" s="195" t="str">
        <f t="shared" si="36"/>
        <v/>
      </c>
      <c r="Z91" s="195" t="str">
        <f t="shared" si="24"/>
        <v/>
      </c>
      <c r="AA91" s="195" t="str">
        <f t="shared" si="25"/>
        <v/>
      </c>
      <c r="AC91" s="196" t="str">
        <f t="shared" si="31"/>
        <v/>
      </c>
    </row>
    <row r="92" hidden="1" spans="1:29">
      <c r="A92" s="181">
        <v>91</v>
      </c>
      <c r="B92" s="181" t="s">
        <v>214</v>
      </c>
      <c r="C92" s="181" t="s">
        <v>215</v>
      </c>
      <c r="D92" s="181" t="s">
        <v>218</v>
      </c>
      <c r="E92" s="206">
        <v>6</v>
      </c>
      <c r="F92" s="206">
        <v>6</v>
      </c>
      <c r="G92" s="206">
        <v>0</v>
      </c>
      <c r="H92" s="206">
        <v>0</v>
      </c>
      <c r="I92" s="185" t="str">
        <f t="shared" si="26"/>
        <v>完工</v>
      </c>
      <c r="J92" s="208">
        <v>6</v>
      </c>
      <c r="K92" s="209" t="str">
        <f t="shared" si="27"/>
        <v/>
      </c>
      <c r="L92" s="186"/>
      <c r="M92" s="210">
        <v>44409</v>
      </c>
      <c r="N92" s="210">
        <v>44409</v>
      </c>
      <c r="O92" s="181" t="s">
        <v>217</v>
      </c>
      <c r="P92" s="181" t="s">
        <v>66</v>
      </c>
      <c r="Q92" s="181"/>
      <c r="R92" s="186"/>
      <c r="S92" s="193">
        <f t="shared" si="23"/>
        <v>0</v>
      </c>
      <c r="T92" s="193" t="str">
        <f t="shared" si="28"/>
        <v/>
      </c>
      <c r="U92" s="175" t="str">
        <f t="shared" si="33"/>
        <v> </v>
      </c>
      <c r="V92" s="175" t="str">
        <f t="shared" si="37"/>
        <v/>
      </c>
      <c r="W92" s="175" t="str">
        <f t="shared" si="29"/>
        <v/>
      </c>
      <c r="X92" s="175" t="str">
        <f t="shared" si="30"/>
        <v/>
      </c>
      <c r="Y92" s="195" t="str">
        <f t="shared" si="36"/>
        <v/>
      </c>
      <c r="Z92" s="195" t="str">
        <f t="shared" si="24"/>
        <v/>
      </c>
      <c r="AA92" s="195" t="str">
        <f t="shared" si="25"/>
        <v/>
      </c>
      <c r="AC92" s="196" t="str">
        <f t="shared" si="31"/>
        <v/>
      </c>
    </row>
    <row r="93" hidden="1" spans="1:29">
      <c r="A93" s="181">
        <v>92</v>
      </c>
      <c r="B93" s="181" t="s">
        <v>214</v>
      </c>
      <c r="C93" s="181" t="s">
        <v>215</v>
      </c>
      <c r="D93" s="181" t="s">
        <v>218</v>
      </c>
      <c r="E93" s="206">
        <v>31</v>
      </c>
      <c r="F93" s="206">
        <v>31</v>
      </c>
      <c r="G93" s="206">
        <v>0</v>
      </c>
      <c r="H93" s="206">
        <v>0</v>
      </c>
      <c r="I93" s="185" t="str">
        <f t="shared" si="26"/>
        <v>完工</v>
      </c>
      <c r="J93" s="208">
        <v>31</v>
      </c>
      <c r="K93" s="209" t="str">
        <f t="shared" si="27"/>
        <v/>
      </c>
      <c r="L93" s="186"/>
      <c r="M93" s="210">
        <v>44409</v>
      </c>
      <c r="N93" s="210">
        <v>44409</v>
      </c>
      <c r="O93" s="181" t="s">
        <v>217</v>
      </c>
      <c r="P93" s="181" t="s">
        <v>66</v>
      </c>
      <c r="Q93" s="181"/>
      <c r="R93" s="186"/>
      <c r="S93" s="193">
        <f t="shared" si="23"/>
        <v>0</v>
      </c>
      <c r="T93" s="193" t="str">
        <f t="shared" si="28"/>
        <v/>
      </c>
      <c r="U93" s="175" t="str">
        <f t="shared" si="33"/>
        <v> </v>
      </c>
      <c r="V93" s="175" t="str">
        <f t="shared" si="37"/>
        <v/>
      </c>
      <c r="W93" s="175" t="str">
        <f t="shared" si="29"/>
        <v/>
      </c>
      <c r="X93" s="175" t="str">
        <f t="shared" si="30"/>
        <v/>
      </c>
      <c r="Y93" s="195" t="str">
        <f t="shared" si="36"/>
        <v/>
      </c>
      <c r="Z93" s="195" t="str">
        <f t="shared" si="24"/>
        <v/>
      </c>
      <c r="AA93" s="195" t="str">
        <f t="shared" si="25"/>
        <v/>
      </c>
      <c r="AC93" s="196" t="str">
        <f t="shared" si="31"/>
        <v/>
      </c>
    </row>
    <row r="94" hidden="1" spans="1:29">
      <c r="A94" s="181">
        <v>93</v>
      </c>
      <c r="B94" s="181" t="s">
        <v>214</v>
      </c>
      <c r="C94" s="181" t="s">
        <v>215</v>
      </c>
      <c r="D94" s="181" t="s">
        <v>218</v>
      </c>
      <c r="E94" s="206">
        <v>3.5</v>
      </c>
      <c r="F94" s="206">
        <v>3.5</v>
      </c>
      <c r="G94" s="206">
        <v>0</v>
      </c>
      <c r="H94" s="206">
        <v>0</v>
      </c>
      <c r="I94" s="185" t="str">
        <f t="shared" si="26"/>
        <v>完工</v>
      </c>
      <c r="J94" s="208">
        <v>3.5</v>
      </c>
      <c r="K94" s="209" t="str">
        <f t="shared" si="27"/>
        <v/>
      </c>
      <c r="L94" s="186"/>
      <c r="M94" s="210">
        <v>44409</v>
      </c>
      <c r="N94" s="210">
        <v>44409</v>
      </c>
      <c r="O94" s="181" t="s">
        <v>217</v>
      </c>
      <c r="P94" s="181" t="s">
        <v>66</v>
      </c>
      <c r="Q94" s="181"/>
      <c r="R94" s="186"/>
      <c r="S94" s="193">
        <f t="shared" si="23"/>
        <v>0</v>
      </c>
      <c r="T94" s="193" t="str">
        <f t="shared" si="28"/>
        <v/>
      </c>
      <c r="U94" s="175" t="str">
        <f t="shared" si="33"/>
        <v> </v>
      </c>
      <c r="V94" s="175" t="str">
        <f t="shared" si="37"/>
        <v/>
      </c>
      <c r="W94" s="175" t="str">
        <f t="shared" si="29"/>
        <v/>
      </c>
      <c r="X94" s="175" t="str">
        <f t="shared" si="30"/>
        <v/>
      </c>
      <c r="Y94" s="195" t="str">
        <f t="shared" si="36"/>
        <v/>
      </c>
      <c r="Z94" s="195" t="str">
        <f t="shared" si="24"/>
        <v/>
      </c>
      <c r="AA94" s="195" t="str">
        <f t="shared" si="25"/>
        <v/>
      </c>
      <c r="AC94" s="196" t="str">
        <f t="shared" si="31"/>
        <v/>
      </c>
    </row>
    <row r="95" hidden="1" spans="1:29">
      <c r="A95" s="181">
        <v>94</v>
      </c>
      <c r="B95" s="181" t="s">
        <v>214</v>
      </c>
      <c r="C95" s="181" t="s">
        <v>215</v>
      </c>
      <c r="D95" s="181" t="s">
        <v>218</v>
      </c>
      <c r="E95" s="206">
        <v>2.3</v>
      </c>
      <c r="F95" s="206">
        <v>2.3</v>
      </c>
      <c r="G95" s="206">
        <v>0</v>
      </c>
      <c r="H95" s="206">
        <v>0</v>
      </c>
      <c r="I95" s="185" t="str">
        <f t="shared" si="26"/>
        <v>完工</v>
      </c>
      <c r="J95" s="208">
        <v>2.3</v>
      </c>
      <c r="K95" s="209" t="str">
        <f t="shared" si="27"/>
        <v/>
      </c>
      <c r="L95" s="186"/>
      <c r="M95" s="210">
        <v>44409</v>
      </c>
      <c r="N95" s="210">
        <v>44409</v>
      </c>
      <c r="O95" s="181" t="s">
        <v>217</v>
      </c>
      <c r="P95" s="181" t="s">
        <v>66</v>
      </c>
      <c r="Q95" s="181"/>
      <c r="R95" s="186"/>
      <c r="S95" s="193">
        <f t="shared" si="23"/>
        <v>0</v>
      </c>
      <c r="T95" s="193" t="str">
        <f t="shared" si="28"/>
        <v/>
      </c>
      <c r="U95" s="175" t="str">
        <f t="shared" si="33"/>
        <v> </v>
      </c>
      <c r="V95" s="175" t="str">
        <f t="shared" si="37"/>
        <v/>
      </c>
      <c r="W95" s="175" t="str">
        <f t="shared" si="29"/>
        <v/>
      </c>
      <c r="X95" s="175" t="str">
        <f t="shared" si="30"/>
        <v/>
      </c>
      <c r="Y95" s="195" t="str">
        <f t="shared" si="36"/>
        <v/>
      </c>
      <c r="Z95" s="195" t="str">
        <f t="shared" si="24"/>
        <v/>
      </c>
      <c r="AA95" s="195" t="str">
        <f t="shared" si="25"/>
        <v/>
      </c>
      <c r="AC95" s="196" t="str">
        <f t="shared" si="31"/>
        <v/>
      </c>
    </row>
    <row r="96" hidden="1" spans="1:29">
      <c r="A96" s="181">
        <v>95</v>
      </c>
      <c r="B96" s="181" t="s">
        <v>220</v>
      </c>
      <c r="C96" s="181" t="s">
        <v>215</v>
      </c>
      <c r="D96" s="181" t="s">
        <v>221</v>
      </c>
      <c r="E96" s="206">
        <v>16</v>
      </c>
      <c r="F96" s="206">
        <v>16</v>
      </c>
      <c r="G96" s="206">
        <v>0</v>
      </c>
      <c r="H96" s="206">
        <v>0</v>
      </c>
      <c r="I96" s="185" t="str">
        <f t="shared" si="26"/>
        <v>完工</v>
      </c>
      <c r="J96" s="208">
        <v>16</v>
      </c>
      <c r="K96" s="209" t="str">
        <f t="shared" si="27"/>
        <v/>
      </c>
      <c r="L96" s="186"/>
      <c r="M96" s="210">
        <v>44440</v>
      </c>
      <c r="N96" s="210">
        <v>44561</v>
      </c>
      <c r="O96" s="181" t="s">
        <v>217</v>
      </c>
      <c r="P96" s="181" t="s">
        <v>66</v>
      </c>
      <c r="Q96" s="181"/>
      <c r="R96" s="186"/>
      <c r="S96" s="193">
        <f t="shared" si="23"/>
        <v>0</v>
      </c>
      <c r="T96" s="193" t="str">
        <f t="shared" si="28"/>
        <v/>
      </c>
      <c r="U96" s="175" t="str">
        <f t="shared" si="33"/>
        <v> </v>
      </c>
      <c r="V96" s="175" t="str">
        <f t="shared" si="37"/>
        <v/>
      </c>
      <c r="W96" s="175" t="str">
        <f t="shared" si="29"/>
        <v/>
      </c>
      <c r="X96" s="175" t="str">
        <f t="shared" si="30"/>
        <v/>
      </c>
      <c r="Y96" s="195" t="str">
        <f t="shared" si="36"/>
        <v/>
      </c>
      <c r="Z96" s="195" t="str">
        <f t="shared" si="24"/>
        <v/>
      </c>
      <c r="AA96" s="195" t="str">
        <f t="shared" si="25"/>
        <v/>
      </c>
      <c r="AC96" s="196" t="str">
        <f t="shared" si="31"/>
        <v/>
      </c>
    </row>
    <row r="97" hidden="1" spans="1:29">
      <c r="A97" s="181">
        <v>96</v>
      </c>
      <c r="B97" s="181" t="s">
        <v>222</v>
      </c>
      <c r="C97" s="181" t="s">
        <v>223</v>
      </c>
      <c r="D97" s="181" t="s">
        <v>224</v>
      </c>
      <c r="E97" s="206">
        <v>166.08</v>
      </c>
      <c r="F97" s="206">
        <v>166.08</v>
      </c>
      <c r="G97" s="206">
        <v>0</v>
      </c>
      <c r="H97" s="206">
        <v>0</v>
      </c>
      <c r="I97" s="185" t="str">
        <f t="shared" si="26"/>
        <v>完工</v>
      </c>
      <c r="J97" s="208">
        <v>166.08</v>
      </c>
      <c r="K97" s="209" t="str">
        <f t="shared" si="27"/>
        <v/>
      </c>
      <c r="L97" s="186"/>
      <c r="M97" s="210">
        <v>44440</v>
      </c>
      <c r="N97" s="210">
        <v>44530</v>
      </c>
      <c r="O97" s="181" t="s">
        <v>225</v>
      </c>
      <c r="P97" s="181" t="s">
        <v>132</v>
      </c>
      <c r="Q97" s="181"/>
      <c r="R97" s="186"/>
      <c r="S97" s="193">
        <f t="shared" si="23"/>
        <v>0</v>
      </c>
      <c r="T97" s="193" t="str">
        <f t="shared" si="28"/>
        <v/>
      </c>
      <c r="U97" s="175" t="str">
        <f t="shared" si="33"/>
        <v> </v>
      </c>
      <c r="V97" s="175" t="str">
        <f t="shared" si="37"/>
        <v/>
      </c>
      <c r="W97" s="175" t="str">
        <f t="shared" si="29"/>
        <v/>
      </c>
      <c r="X97" s="175" t="str">
        <f t="shared" si="30"/>
        <v/>
      </c>
      <c r="Y97" s="195" t="str">
        <f t="shared" si="36"/>
        <v/>
      </c>
      <c r="Z97" s="195" t="str">
        <f t="shared" si="24"/>
        <v/>
      </c>
      <c r="AA97" s="195" t="str">
        <f t="shared" si="25"/>
        <v/>
      </c>
      <c r="AC97" s="196" t="str">
        <f t="shared" si="31"/>
        <v/>
      </c>
    </row>
    <row r="98" hidden="1" spans="1:29">
      <c r="A98" s="181">
        <v>97</v>
      </c>
      <c r="B98" s="181" t="s">
        <v>226</v>
      </c>
      <c r="C98" s="181" t="s">
        <v>223</v>
      </c>
      <c r="D98" s="181" t="s">
        <v>227</v>
      </c>
      <c r="E98" s="206">
        <v>1.25</v>
      </c>
      <c r="F98" s="206">
        <v>1.25</v>
      </c>
      <c r="G98" s="206">
        <v>0</v>
      </c>
      <c r="H98" s="206">
        <v>0</v>
      </c>
      <c r="I98" s="185" t="str">
        <f t="shared" si="26"/>
        <v>完工</v>
      </c>
      <c r="J98" s="208">
        <v>1.25</v>
      </c>
      <c r="K98" s="209" t="str">
        <f t="shared" si="27"/>
        <v/>
      </c>
      <c r="L98" s="186"/>
      <c r="M98" s="210">
        <v>44409</v>
      </c>
      <c r="N98" s="210">
        <v>44500</v>
      </c>
      <c r="O98" s="181" t="s">
        <v>225</v>
      </c>
      <c r="P98" s="181" t="s">
        <v>36</v>
      </c>
      <c r="Q98" s="181"/>
      <c r="R98" s="186"/>
      <c r="S98" s="193">
        <f t="shared" si="23"/>
        <v>0</v>
      </c>
      <c r="T98" s="193" t="str">
        <f t="shared" si="28"/>
        <v/>
      </c>
      <c r="U98" s="175" t="str">
        <f t="shared" si="33"/>
        <v> </v>
      </c>
      <c r="V98" s="175" t="str">
        <f t="shared" si="37"/>
        <v/>
      </c>
      <c r="W98" s="175" t="str">
        <f t="shared" si="29"/>
        <v/>
      </c>
      <c r="X98" s="175" t="str">
        <f t="shared" si="30"/>
        <v/>
      </c>
      <c r="Y98" s="195" t="str">
        <f t="shared" si="36"/>
        <v/>
      </c>
      <c r="Z98" s="195" t="str">
        <f t="shared" si="24"/>
        <v/>
      </c>
      <c r="AA98" s="195" t="str">
        <f t="shared" si="25"/>
        <v/>
      </c>
      <c r="AC98" s="196" t="str">
        <f t="shared" si="31"/>
        <v/>
      </c>
    </row>
    <row r="99" hidden="1" spans="1:29">
      <c r="A99" s="181">
        <v>98</v>
      </c>
      <c r="B99" s="181" t="s">
        <v>228</v>
      </c>
      <c r="C99" s="181" t="s">
        <v>223</v>
      </c>
      <c r="D99" s="181" t="s">
        <v>229</v>
      </c>
      <c r="E99" s="206">
        <v>0.93</v>
      </c>
      <c r="F99" s="206">
        <v>0.93</v>
      </c>
      <c r="G99" s="206">
        <v>0</v>
      </c>
      <c r="H99" s="206">
        <v>0</v>
      </c>
      <c r="I99" s="185" t="str">
        <f t="shared" si="26"/>
        <v>完工</v>
      </c>
      <c r="J99" s="208">
        <v>0.93</v>
      </c>
      <c r="K99" s="209" t="str">
        <f t="shared" si="27"/>
        <v/>
      </c>
      <c r="L99" s="186"/>
      <c r="M99" s="210">
        <v>44409</v>
      </c>
      <c r="N99" s="210">
        <v>44500</v>
      </c>
      <c r="O99" s="181" t="s">
        <v>225</v>
      </c>
      <c r="P99" s="181" t="s">
        <v>36</v>
      </c>
      <c r="Q99" s="181"/>
      <c r="R99" s="186"/>
      <c r="S99" s="193">
        <f t="shared" si="23"/>
        <v>0</v>
      </c>
      <c r="T99" s="193" t="str">
        <f t="shared" si="28"/>
        <v/>
      </c>
      <c r="U99" s="175" t="str">
        <f t="shared" si="33"/>
        <v> </v>
      </c>
      <c r="V99" s="175" t="str">
        <f t="shared" si="37"/>
        <v/>
      </c>
      <c r="W99" s="175" t="str">
        <f t="shared" si="29"/>
        <v/>
      </c>
      <c r="X99" s="175" t="str">
        <f t="shared" si="30"/>
        <v/>
      </c>
      <c r="Y99" s="195" t="str">
        <f t="shared" si="36"/>
        <v/>
      </c>
      <c r="Z99" s="195" t="str">
        <f t="shared" si="24"/>
        <v/>
      </c>
      <c r="AA99" s="195" t="str">
        <f t="shared" si="25"/>
        <v/>
      </c>
      <c r="AC99" s="196" t="str">
        <f t="shared" si="31"/>
        <v/>
      </c>
    </row>
    <row r="100" hidden="1" spans="1:29">
      <c r="A100" s="181">
        <v>99</v>
      </c>
      <c r="B100" s="181" t="s">
        <v>230</v>
      </c>
      <c r="C100" s="181" t="s">
        <v>223</v>
      </c>
      <c r="D100" s="181" t="s">
        <v>231</v>
      </c>
      <c r="E100" s="206">
        <v>5.08</v>
      </c>
      <c r="F100" s="206">
        <v>5.08</v>
      </c>
      <c r="G100" s="206">
        <v>0</v>
      </c>
      <c r="H100" s="206">
        <v>0</v>
      </c>
      <c r="I100" s="185" t="str">
        <f t="shared" si="26"/>
        <v>完工</v>
      </c>
      <c r="J100" s="208">
        <v>5.08</v>
      </c>
      <c r="K100" s="209" t="str">
        <f t="shared" si="27"/>
        <v/>
      </c>
      <c r="L100" s="186"/>
      <c r="M100" s="210">
        <v>44409</v>
      </c>
      <c r="N100" s="210">
        <v>44500</v>
      </c>
      <c r="O100" s="181" t="s">
        <v>225</v>
      </c>
      <c r="P100" s="181" t="s">
        <v>36</v>
      </c>
      <c r="Q100" s="181"/>
      <c r="R100" s="186"/>
      <c r="S100" s="193">
        <f t="shared" si="23"/>
        <v>0</v>
      </c>
      <c r="T100" s="193" t="str">
        <f t="shared" si="28"/>
        <v/>
      </c>
      <c r="U100" s="175" t="str">
        <f t="shared" si="33"/>
        <v> </v>
      </c>
      <c r="V100" s="175" t="str">
        <f t="shared" si="37"/>
        <v/>
      </c>
      <c r="W100" s="175" t="str">
        <f t="shared" si="29"/>
        <v/>
      </c>
      <c r="X100" s="175" t="str">
        <f t="shared" si="30"/>
        <v/>
      </c>
      <c r="Y100" s="195" t="str">
        <f t="shared" si="36"/>
        <v/>
      </c>
      <c r="Z100" s="195" t="str">
        <f t="shared" si="24"/>
        <v/>
      </c>
      <c r="AA100" s="195" t="str">
        <f t="shared" si="25"/>
        <v/>
      </c>
      <c r="AC100" s="196" t="str">
        <f t="shared" si="31"/>
        <v/>
      </c>
    </row>
    <row r="101" hidden="1" spans="1:29">
      <c r="A101" s="181">
        <v>100</v>
      </c>
      <c r="B101" s="181" t="s">
        <v>232</v>
      </c>
      <c r="C101" s="181" t="s">
        <v>223</v>
      </c>
      <c r="D101" s="181" t="s">
        <v>233</v>
      </c>
      <c r="E101" s="206">
        <v>5</v>
      </c>
      <c r="F101" s="206">
        <v>5</v>
      </c>
      <c r="G101" s="206">
        <v>0</v>
      </c>
      <c r="H101" s="206">
        <v>0</v>
      </c>
      <c r="I101" s="185" t="str">
        <f t="shared" si="26"/>
        <v>完工</v>
      </c>
      <c r="J101" s="208">
        <v>5</v>
      </c>
      <c r="K101" s="209" t="str">
        <f t="shared" si="27"/>
        <v/>
      </c>
      <c r="L101" s="186"/>
      <c r="M101" s="210">
        <v>44409</v>
      </c>
      <c r="N101" s="210">
        <v>44500</v>
      </c>
      <c r="O101" s="181" t="s">
        <v>225</v>
      </c>
      <c r="P101" s="181" t="s">
        <v>36</v>
      </c>
      <c r="Q101" s="181"/>
      <c r="R101" s="186"/>
      <c r="S101" s="193">
        <f t="shared" si="23"/>
        <v>0</v>
      </c>
      <c r="T101" s="193" t="str">
        <f t="shared" si="28"/>
        <v/>
      </c>
      <c r="U101" s="175" t="str">
        <f t="shared" si="33"/>
        <v> </v>
      </c>
      <c r="V101" s="175" t="str">
        <f t="shared" si="37"/>
        <v/>
      </c>
      <c r="W101" s="175" t="str">
        <f t="shared" si="29"/>
        <v/>
      </c>
      <c r="X101" s="175" t="str">
        <f t="shared" si="30"/>
        <v/>
      </c>
      <c r="Y101" s="195" t="str">
        <f t="shared" si="36"/>
        <v/>
      </c>
      <c r="Z101" s="195" t="str">
        <f t="shared" si="24"/>
        <v/>
      </c>
      <c r="AA101" s="195" t="str">
        <f t="shared" si="25"/>
        <v/>
      </c>
      <c r="AC101" s="196" t="str">
        <f t="shared" si="31"/>
        <v/>
      </c>
    </row>
    <row r="102" hidden="1" spans="1:29">
      <c r="A102" s="181">
        <v>101</v>
      </c>
      <c r="B102" s="181" t="s">
        <v>234</v>
      </c>
      <c r="C102" s="181" t="s">
        <v>223</v>
      </c>
      <c r="D102" s="181" t="s">
        <v>235</v>
      </c>
      <c r="E102" s="206">
        <v>5.1</v>
      </c>
      <c r="F102" s="206">
        <v>5.1</v>
      </c>
      <c r="G102" s="206">
        <v>0</v>
      </c>
      <c r="H102" s="206">
        <v>0</v>
      </c>
      <c r="I102" s="185" t="str">
        <f t="shared" si="26"/>
        <v>完工</v>
      </c>
      <c r="J102" s="208">
        <v>5.1</v>
      </c>
      <c r="K102" s="209" t="str">
        <f t="shared" si="27"/>
        <v/>
      </c>
      <c r="L102" s="186"/>
      <c r="M102" s="210">
        <v>44409</v>
      </c>
      <c r="N102" s="210">
        <v>44500</v>
      </c>
      <c r="O102" s="181" t="s">
        <v>225</v>
      </c>
      <c r="P102" s="181" t="s">
        <v>36</v>
      </c>
      <c r="Q102" s="181"/>
      <c r="R102" s="186"/>
      <c r="S102" s="193">
        <f t="shared" si="23"/>
        <v>0</v>
      </c>
      <c r="T102" s="193" t="str">
        <f t="shared" si="28"/>
        <v/>
      </c>
      <c r="U102" s="175" t="str">
        <f t="shared" si="33"/>
        <v> </v>
      </c>
      <c r="V102" s="175" t="str">
        <f t="shared" si="37"/>
        <v/>
      </c>
      <c r="W102" s="175" t="str">
        <f t="shared" si="29"/>
        <v/>
      </c>
      <c r="X102" s="175" t="str">
        <f t="shared" si="30"/>
        <v/>
      </c>
      <c r="Y102" s="195" t="str">
        <f t="shared" si="36"/>
        <v/>
      </c>
      <c r="Z102" s="195" t="str">
        <f t="shared" si="24"/>
        <v/>
      </c>
      <c r="AA102" s="195" t="str">
        <f t="shared" si="25"/>
        <v/>
      </c>
      <c r="AC102" s="196" t="str">
        <f t="shared" si="31"/>
        <v/>
      </c>
    </row>
    <row r="103" hidden="1" spans="1:29">
      <c r="A103" s="181">
        <v>102</v>
      </c>
      <c r="B103" s="181" t="s">
        <v>236</v>
      </c>
      <c r="C103" s="181" t="s">
        <v>223</v>
      </c>
      <c r="D103" s="181" t="s">
        <v>237</v>
      </c>
      <c r="E103" s="206">
        <v>1.2</v>
      </c>
      <c r="F103" s="206">
        <v>1.2</v>
      </c>
      <c r="G103" s="206">
        <v>0</v>
      </c>
      <c r="H103" s="206">
        <v>0</v>
      </c>
      <c r="I103" s="185" t="str">
        <f t="shared" si="26"/>
        <v>完工</v>
      </c>
      <c r="J103" s="208">
        <v>1.2</v>
      </c>
      <c r="K103" s="209" t="str">
        <f t="shared" si="27"/>
        <v/>
      </c>
      <c r="L103" s="186"/>
      <c r="M103" s="210">
        <v>44409</v>
      </c>
      <c r="N103" s="210">
        <v>44500</v>
      </c>
      <c r="O103" s="181" t="s">
        <v>225</v>
      </c>
      <c r="P103" s="181" t="s">
        <v>36</v>
      </c>
      <c r="Q103" s="181"/>
      <c r="R103" s="186"/>
      <c r="S103" s="193">
        <f t="shared" si="23"/>
        <v>0</v>
      </c>
      <c r="T103" s="193" t="str">
        <f t="shared" si="28"/>
        <v/>
      </c>
      <c r="U103" s="175" t="str">
        <f t="shared" ref="U103:U134" si="38">IF(I103="完工"," ",0)</f>
        <v> </v>
      </c>
      <c r="V103" s="175" t="str">
        <f t="shared" si="37"/>
        <v/>
      </c>
      <c r="W103" s="175" t="str">
        <f t="shared" si="29"/>
        <v/>
      </c>
      <c r="X103" s="175" t="str">
        <f t="shared" si="30"/>
        <v/>
      </c>
      <c r="Y103" s="195" t="str">
        <f t="shared" si="36"/>
        <v/>
      </c>
      <c r="Z103" s="195" t="str">
        <f t="shared" si="24"/>
        <v/>
      </c>
      <c r="AA103" s="195" t="str">
        <f t="shared" si="25"/>
        <v/>
      </c>
      <c r="AC103" s="196" t="str">
        <f t="shared" si="31"/>
        <v/>
      </c>
    </row>
    <row r="104" hidden="1" spans="1:29">
      <c r="A104" s="181">
        <v>103</v>
      </c>
      <c r="B104" s="181" t="s">
        <v>238</v>
      </c>
      <c r="C104" s="181" t="s">
        <v>223</v>
      </c>
      <c r="D104" s="181" t="s">
        <v>239</v>
      </c>
      <c r="E104" s="206">
        <v>24.58</v>
      </c>
      <c r="F104" s="206">
        <v>24.58</v>
      </c>
      <c r="G104" s="206">
        <v>0</v>
      </c>
      <c r="H104" s="206">
        <v>0</v>
      </c>
      <c r="I104" s="185" t="str">
        <f t="shared" si="26"/>
        <v>完工</v>
      </c>
      <c r="J104" s="208">
        <v>24.58</v>
      </c>
      <c r="K104" s="209" t="str">
        <f t="shared" si="27"/>
        <v/>
      </c>
      <c r="L104" s="186"/>
      <c r="M104" s="210">
        <v>44409</v>
      </c>
      <c r="N104" s="210">
        <v>44500</v>
      </c>
      <c r="O104" s="181" t="s">
        <v>225</v>
      </c>
      <c r="P104" s="181" t="s">
        <v>36</v>
      </c>
      <c r="Q104" s="181"/>
      <c r="R104" s="186"/>
      <c r="S104" s="193">
        <f t="shared" si="23"/>
        <v>0</v>
      </c>
      <c r="T104" s="193" t="str">
        <f t="shared" si="28"/>
        <v/>
      </c>
      <c r="U104" s="175" t="str">
        <f t="shared" si="38"/>
        <v> </v>
      </c>
      <c r="V104" s="175" t="str">
        <f t="shared" si="37"/>
        <v/>
      </c>
      <c r="W104" s="175" t="str">
        <f t="shared" si="29"/>
        <v/>
      </c>
      <c r="X104" s="175" t="str">
        <f t="shared" si="30"/>
        <v/>
      </c>
      <c r="Y104" s="195" t="str">
        <f t="shared" si="36"/>
        <v/>
      </c>
      <c r="Z104" s="195" t="str">
        <f t="shared" si="24"/>
        <v/>
      </c>
      <c r="AA104" s="195" t="str">
        <f t="shared" si="25"/>
        <v/>
      </c>
      <c r="AC104" s="196" t="str">
        <f t="shared" si="31"/>
        <v/>
      </c>
    </row>
    <row r="105" hidden="1" spans="1:29">
      <c r="A105" s="181">
        <v>104</v>
      </c>
      <c r="B105" s="181" t="s">
        <v>240</v>
      </c>
      <c r="C105" s="181" t="s">
        <v>223</v>
      </c>
      <c r="D105" s="181" t="s">
        <v>241</v>
      </c>
      <c r="E105" s="206">
        <v>3.17</v>
      </c>
      <c r="F105" s="206">
        <v>3.17</v>
      </c>
      <c r="G105" s="206">
        <v>0</v>
      </c>
      <c r="H105" s="206">
        <v>0</v>
      </c>
      <c r="I105" s="185" t="str">
        <f t="shared" si="26"/>
        <v>完工</v>
      </c>
      <c r="J105" s="208">
        <v>3.17</v>
      </c>
      <c r="K105" s="209" t="str">
        <f t="shared" si="27"/>
        <v/>
      </c>
      <c r="L105" s="186"/>
      <c r="M105" s="210">
        <v>44409</v>
      </c>
      <c r="N105" s="210">
        <v>44500</v>
      </c>
      <c r="O105" s="181" t="s">
        <v>225</v>
      </c>
      <c r="P105" s="181" t="s">
        <v>36</v>
      </c>
      <c r="Q105" s="181"/>
      <c r="R105" s="186"/>
      <c r="S105" s="193">
        <f t="shared" si="23"/>
        <v>0</v>
      </c>
      <c r="T105" s="193" t="str">
        <f t="shared" si="28"/>
        <v/>
      </c>
      <c r="U105" s="175" t="str">
        <f t="shared" si="38"/>
        <v> </v>
      </c>
      <c r="V105" s="175" t="str">
        <f t="shared" si="37"/>
        <v/>
      </c>
      <c r="W105" s="175" t="str">
        <f t="shared" si="29"/>
        <v/>
      </c>
      <c r="X105" s="175" t="str">
        <f t="shared" si="30"/>
        <v/>
      </c>
      <c r="Y105" s="195" t="str">
        <f t="shared" si="36"/>
        <v/>
      </c>
      <c r="Z105" s="195" t="str">
        <f t="shared" si="24"/>
        <v/>
      </c>
      <c r="AA105" s="195" t="str">
        <f t="shared" si="25"/>
        <v/>
      </c>
      <c r="AC105" s="196" t="str">
        <f t="shared" si="31"/>
        <v/>
      </c>
    </row>
    <row r="106" hidden="1" spans="1:29">
      <c r="A106" s="181">
        <v>105</v>
      </c>
      <c r="B106" s="181" t="s">
        <v>242</v>
      </c>
      <c r="C106" s="181" t="s">
        <v>223</v>
      </c>
      <c r="D106" s="181" t="s">
        <v>243</v>
      </c>
      <c r="E106" s="206">
        <v>1.73</v>
      </c>
      <c r="F106" s="206">
        <v>1.73</v>
      </c>
      <c r="G106" s="206">
        <v>0</v>
      </c>
      <c r="H106" s="206">
        <v>0</v>
      </c>
      <c r="I106" s="185" t="str">
        <f t="shared" si="26"/>
        <v>完工</v>
      </c>
      <c r="J106" s="208">
        <v>1.73</v>
      </c>
      <c r="K106" s="209" t="str">
        <f t="shared" si="27"/>
        <v/>
      </c>
      <c r="L106" s="186"/>
      <c r="M106" s="210">
        <v>44409</v>
      </c>
      <c r="N106" s="210">
        <v>44500</v>
      </c>
      <c r="O106" s="181" t="s">
        <v>225</v>
      </c>
      <c r="P106" s="181" t="s">
        <v>36</v>
      </c>
      <c r="Q106" s="181"/>
      <c r="R106" s="186"/>
      <c r="S106" s="193">
        <f t="shared" si="23"/>
        <v>0</v>
      </c>
      <c r="T106" s="193" t="str">
        <f t="shared" si="28"/>
        <v/>
      </c>
      <c r="U106" s="175" t="str">
        <f t="shared" si="38"/>
        <v> </v>
      </c>
      <c r="V106" s="175" t="str">
        <f t="shared" si="37"/>
        <v/>
      </c>
      <c r="W106" s="175" t="str">
        <f t="shared" si="29"/>
        <v/>
      </c>
      <c r="X106" s="175" t="str">
        <f t="shared" si="30"/>
        <v/>
      </c>
      <c r="Y106" s="195" t="str">
        <f t="shared" si="36"/>
        <v/>
      </c>
      <c r="Z106" s="195" t="str">
        <f t="shared" si="24"/>
        <v/>
      </c>
      <c r="AA106" s="195" t="str">
        <f t="shared" si="25"/>
        <v/>
      </c>
      <c r="AC106" s="196" t="str">
        <f t="shared" si="31"/>
        <v/>
      </c>
    </row>
    <row r="107" hidden="1" spans="1:29">
      <c r="A107" s="181">
        <v>106</v>
      </c>
      <c r="B107" s="181" t="s">
        <v>244</v>
      </c>
      <c r="C107" s="181" t="s">
        <v>223</v>
      </c>
      <c r="D107" s="181" t="s">
        <v>245</v>
      </c>
      <c r="E107" s="206">
        <v>4.58</v>
      </c>
      <c r="F107" s="206">
        <v>4.58</v>
      </c>
      <c r="G107" s="206">
        <v>0</v>
      </c>
      <c r="H107" s="206">
        <v>0</v>
      </c>
      <c r="I107" s="185" t="str">
        <f t="shared" si="26"/>
        <v>完工</v>
      </c>
      <c r="J107" s="208">
        <v>4.58</v>
      </c>
      <c r="K107" s="209" t="str">
        <f t="shared" si="27"/>
        <v/>
      </c>
      <c r="L107" s="186"/>
      <c r="M107" s="210">
        <v>44409</v>
      </c>
      <c r="N107" s="210">
        <v>44500</v>
      </c>
      <c r="O107" s="181" t="s">
        <v>225</v>
      </c>
      <c r="P107" s="181" t="s">
        <v>36</v>
      </c>
      <c r="Q107" s="181"/>
      <c r="R107" s="186"/>
      <c r="S107" s="193">
        <f t="shared" si="23"/>
        <v>0</v>
      </c>
      <c r="T107" s="193" t="str">
        <f t="shared" si="28"/>
        <v/>
      </c>
      <c r="U107" s="175" t="str">
        <f t="shared" si="38"/>
        <v> </v>
      </c>
      <c r="V107" s="175" t="str">
        <f t="shared" si="37"/>
        <v/>
      </c>
      <c r="W107" s="175" t="str">
        <f t="shared" si="29"/>
        <v/>
      </c>
      <c r="X107" s="175" t="str">
        <f t="shared" si="30"/>
        <v/>
      </c>
      <c r="Y107" s="195" t="str">
        <f t="shared" si="36"/>
        <v/>
      </c>
      <c r="Z107" s="195" t="str">
        <f t="shared" si="24"/>
        <v/>
      </c>
      <c r="AA107" s="195" t="str">
        <f t="shared" si="25"/>
        <v/>
      </c>
      <c r="AC107" s="196" t="str">
        <f t="shared" si="31"/>
        <v/>
      </c>
    </row>
    <row r="108" hidden="1" spans="1:29">
      <c r="A108" s="181">
        <v>107</v>
      </c>
      <c r="B108" s="181" t="s">
        <v>246</v>
      </c>
      <c r="C108" s="181" t="s">
        <v>223</v>
      </c>
      <c r="D108" s="181" t="s">
        <v>247</v>
      </c>
      <c r="E108" s="206">
        <v>5.32</v>
      </c>
      <c r="F108" s="206">
        <v>5.32</v>
      </c>
      <c r="G108" s="206">
        <v>0</v>
      </c>
      <c r="H108" s="206">
        <v>0</v>
      </c>
      <c r="I108" s="185" t="str">
        <f t="shared" si="26"/>
        <v>完工</v>
      </c>
      <c r="J108" s="208">
        <v>5.32</v>
      </c>
      <c r="K108" s="209" t="str">
        <f t="shared" si="27"/>
        <v/>
      </c>
      <c r="L108" s="186"/>
      <c r="M108" s="210">
        <v>44409</v>
      </c>
      <c r="N108" s="210">
        <v>44500</v>
      </c>
      <c r="O108" s="181" t="s">
        <v>225</v>
      </c>
      <c r="P108" s="181" t="s">
        <v>36</v>
      </c>
      <c r="Q108" s="181"/>
      <c r="R108" s="186"/>
      <c r="S108" s="193">
        <f t="shared" si="23"/>
        <v>0</v>
      </c>
      <c r="T108" s="193" t="str">
        <f t="shared" si="28"/>
        <v/>
      </c>
      <c r="U108" s="175" t="str">
        <f t="shared" si="38"/>
        <v> </v>
      </c>
      <c r="V108" s="175" t="str">
        <f t="shared" si="37"/>
        <v/>
      </c>
      <c r="W108" s="175" t="str">
        <f t="shared" si="29"/>
        <v/>
      </c>
      <c r="X108" s="175" t="str">
        <f t="shared" si="30"/>
        <v/>
      </c>
      <c r="Y108" s="195" t="str">
        <f t="shared" si="36"/>
        <v/>
      </c>
      <c r="Z108" s="195" t="str">
        <f t="shared" si="24"/>
        <v/>
      </c>
      <c r="AA108" s="195" t="str">
        <f t="shared" si="25"/>
        <v/>
      </c>
      <c r="AC108" s="196" t="str">
        <f t="shared" si="31"/>
        <v/>
      </c>
    </row>
    <row r="109" hidden="1" spans="1:29">
      <c r="A109" s="181">
        <v>108</v>
      </c>
      <c r="B109" s="181" t="s">
        <v>248</v>
      </c>
      <c r="C109" s="181" t="s">
        <v>223</v>
      </c>
      <c r="D109" s="181" t="s">
        <v>249</v>
      </c>
      <c r="E109" s="206">
        <v>2.1</v>
      </c>
      <c r="F109" s="206">
        <v>2.1</v>
      </c>
      <c r="G109" s="206">
        <v>0</v>
      </c>
      <c r="H109" s="206">
        <v>0</v>
      </c>
      <c r="I109" s="185" t="str">
        <f t="shared" si="26"/>
        <v>完工</v>
      </c>
      <c r="J109" s="208">
        <v>2.1</v>
      </c>
      <c r="K109" s="209" t="str">
        <f t="shared" si="27"/>
        <v/>
      </c>
      <c r="L109" s="186"/>
      <c r="M109" s="210">
        <v>44409</v>
      </c>
      <c r="N109" s="210">
        <v>44500</v>
      </c>
      <c r="O109" s="181" t="s">
        <v>225</v>
      </c>
      <c r="P109" s="181" t="s">
        <v>36</v>
      </c>
      <c r="Q109" s="181"/>
      <c r="R109" s="186"/>
      <c r="S109" s="193">
        <f t="shared" si="23"/>
        <v>0</v>
      </c>
      <c r="T109" s="193" t="str">
        <f t="shared" si="28"/>
        <v/>
      </c>
      <c r="U109" s="175" t="str">
        <f t="shared" si="38"/>
        <v> </v>
      </c>
      <c r="V109" s="175" t="str">
        <f t="shared" si="37"/>
        <v/>
      </c>
      <c r="W109" s="175" t="str">
        <f t="shared" si="29"/>
        <v/>
      </c>
      <c r="X109" s="175" t="str">
        <f t="shared" si="30"/>
        <v/>
      </c>
      <c r="Y109" s="195" t="str">
        <f t="shared" si="36"/>
        <v/>
      </c>
      <c r="Z109" s="195" t="str">
        <f t="shared" si="24"/>
        <v/>
      </c>
      <c r="AA109" s="195" t="str">
        <f t="shared" si="25"/>
        <v/>
      </c>
      <c r="AC109" s="196" t="str">
        <f t="shared" si="31"/>
        <v/>
      </c>
    </row>
    <row r="110" hidden="1" spans="1:29">
      <c r="A110" s="181">
        <v>109</v>
      </c>
      <c r="B110" s="181" t="s">
        <v>250</v>
      </c>
      <c r="C110" s="181" t="s">
        <v>223</v>
      </c>
      <c r="D110" s="181" t="s">
        <v>251</v>
      </c>
      <c r="E110" s="206">
        <v>3.1</v>
      </c>
      <c r="F110" s="206">
        <v>3.1</v>
      </c>
      <c r="G110" s="206">
        <v>0</v>
      </c>
      <c r="H110" s="206">
        <v>0</v>
      </c>
      <c r="I110" s="185" t="str">
        <f t="shared" si="26"/>
        <v>完工</v>
      </c>
      <c r="J110" s="208">
        <v>3.1</v>
      </c>
      <c r="K110" s="209" t="str">
        <f t="shared" si="27"/>
        <v/>
      </c>
      <c r="L110" s="186"/>
      <c r="M110" s="210">
        <v>44409</v>
      </c>
      <c r="N110" s="210">
        <v>44500</v>
      </c>
      <c r="O110" s="181" t="s">
        <v>225</v>
      </c>
      <c r="P110" s="181" t="s">
        <v>36</v>
      </c>
      <c r="Q110" s="181"/>
      <c r="R110" s="186"/>
      <c r="S110" s="193">
        <f t="shared" si="23"/>
        <v>0</v>
      </c>
      <c r="T110" s="193" t="str">
        <f t="shared" si="28"/>
        <v/>
      </c>
      <c r="U110" s="175" t="str">
        <f t="shared" si="38"/>
        <v> </v>
      </c>
      <c r="V110" s="175" t="str">
        <f t="shared" si="37"/>
        <v/>
      </c>
      <c r="W110" s="175" t="str">
        <f t="shared" si="29"/>
        <v/>
      </c>
      <c r="X110" s="175" t="str">
        <f t="shared" si="30"/>
        <v/>
      </c>
      <c r="Y110" s="195" t="str">
        <f t="shared" si="36"/>
        <v/>
      </c>
      <c r="Z110" s="195" t="str">
        <f t="shared" si="24"/>
        <v/>
      </c>
      <c r="AA110" s="195" t="str">
        <f t="shared" si="25"/>
        <v/>
      </c>
      <c r="AC110" s="196" t="str">
        <f t="shared" si="31"/>
        <v/>
      </c>
    </row>
    <row r="111" hidden="1" spans="1:29">
      <c r="A111" s="181">
        <v>110</v>
      </c>
      <c r="B111" s="181" t="s">
        <v>252</v>
      </c>
      <c r="C111" s="181" t="s">
        <v>223</v>
      </c>
      <c r="D111" s="181" t="s">
        <v>253</v>
      </c>
      <c r="E111" s="206">
        <v>2.53</v>
      </c>
      <c r="F111" s="206">
        <v>2.53</v>
      </c>
      <c r="G111" s="206">
        <v>0</v>
      </c>
      <c r="H111" s="206">
        <v>0</v>
      </c>
      <c r="I111" s="185" t="str">
        <f t="shared" si="26"/>
        <v>完工</v>
      </c>
      <c r="J111" s="208">
        <v>2.53</v>
      </c>
      <c r="K111" s="209" t="str">
        <f t="shared" si="27"/>
        <v/>
      </c>
      <c r="L111" s="186"/>
      <c r="M111" s="210">
        <v>44409</v>
      </c>
      <c r="N111" s="210">
        <v>44500</v>
      </c>
      <c r="O111" s="181" t="s">
        <v>225</v>
      </c>
      <c r="P111" s="181" t="s">
        <v>36</v>
      </c>
      <c r="Q111" s="181"/>
      <c r="R111" s="186"/>
      <c r="S111" s="193">
        <f t="shared" si="23"/>
        <v>0</v>
      </c>
      <c r="T111" s="193" t="str">
        <f t="shared" si="28"/>
        <v/>
      </c>
      <c r="U111" s="175" t="str">
        <f t="shared" si="38"/>
        <v> </v>
      </c>
      <c r="V111" s="175" t="str">
        <f t="shared" si="37"/>
        <v/>
      </c>
      <c r="W111" s="175" t="str">
        <f t="shared" si="29"/>
        <v/>
      </c>
      <c r="X111" s="175" t="str">
        <f t="shared" si="30"/>
        <v/>
      </c>
      <c r="Y111" s="195" t="str">
        <f t="shared" si="36"/>
        <v/>
      </c>
      <c r="Z111" s="195" t="str">
        <f t="shared" si="24"/>
        <v/>
      </c>
      <c r="AA111" s="195" t="str">
        <f t="shared" si="25"/>
        <v/>
      </c>
      <c r="AC111" s="196" t="str">
        <f t="shared" si="31"/>
        <v/>
      </c>
    </row>
    <row r="112" hidden="1" spans="1:29">
      <c r="A112" s="181">
        <v>111</v>
      </c>
      <c r="B112" s="181" t="s">
        <v>254</v>
      </c>
      <c r="C112" s="181" t="s">
        <v>223</v>
      </c>
      <c r="D112" s="181" t="s">
        <v>255</v>
      </c>
      <c r="E112" s="206">
        <v>6</v>
      </c>
      <c r="F112" s="206">
        <v>6</v>
      </c>
      <c r="G112" s="206">
        <v>0</v>
      </c>
      <c r="H112" s="206">
        <v>0</v>
      </c>
      <c r="I112" s="185" t="str">
        <f t="shared" si="26"/>
        <v>完工</v>
      </c>
      <c r="J112" s="208">
        <v>6</v>
      </c>
      <c r="K112" s="209" t="str">
        <f t="shared" si="27"/>
        <v/>
      </c>
      <c r="L112" s="186"/>
      <c r="M112" s="210">
        <v>44409</v>
      </c>
      <c r="N112" s="210">
        <v>44500</v>
      </c>
      <c r="O112" s="181" t="s">
        <v>225</v>
      </c>
      <c r="P112" s="181" t="s">
        <v>36</v>
      </c>
      <c r="Q112" s="181"/>
      <c r="R112" s="186"/>
      <c r="S112" s="193">
        <f t="shared" si="23"/>
        <v>0</v>
      </c>
      <c r="T112" s="193" t="str">
        <f t="shared" si="28"/>
        <v/>
      </c>
      <c r="U112" s="175" t="str">
        <f t="shared" si="38"/>
        <v> </v>
      </c>
      <c r="V112" s="175" t="str">
        <f t="shared" si="37"/>
        <v/>
      </c>
      <c r="W112" s="175" t="str">
        <f t="shared" si="29"/>
        <v/>
      </c>
      <c r="X112" s="175" t="str">
        <f t="shared" si="30"/>
        <v/>
      </c>
      <c r="Y112" s="195" t="str">
        <f t="shared" si="36"/>
        <v/>
      </c>
      <c r="Z112" s="195" t="str">
        <f t="shared" si="24"/>
        <v/>
      </c>
      <c r="AA112" s="195" t="str">
        <f t="shared" si="25"/>
        <v/>
      </c>
      <c r="AC112" s="196" t="str">
        <f t="shared" si="31"/>
        <v/>
      </c>
    </row>
    <row r="113" hidden="1" spans="1:29">
      <c r="A113" s="181">
        <v>112</v>
      </c>
      <c r="B113" s="181" t="s">
        <v>256</v>
      </c>
      <c r="C113" s="181" t="s">
        <v>223</v>
      </c>
      <c r="D113" s="181" t="s">
        <v>257</v>
      </c>
      <c r="E113" s="206">
        <v>6</v>
      </c>
      <c r="F113" s="206">
        <v>6</v>
      </c>
      <c r="G113" s="206">
        <v>0</v>
      </c>
      <c r="H113" s="206">
        <v>0</v>
      </c>
      <c r="I113" s="185" t="str">
        <f t="shared" si="26"/>
        <v>完工</v>
      </c>
      <c r="J113" s="208">
        <v>6</v>
      </c>
      <c r="K113" s="209" t="str">
        <f t="shared" si="27"/>
        <v/>
      </c>
      <c r="L113" s="186"/>
      <c r="M113" s="210">
        <v>44409</v>
      </c>
      <c r="N113" s="210">
        <v>44500</v>
      </c>
      <c r="O113" s="181" t="s">
        <v>225</v>
      </c>
      <c r="P113" s="181" t="s">
        <v>36</v>
      </c>
      <c r="Q113" s="181"/>
      <c r="R113" s="186"/>
      <c r="S113" s="193">
        <f t="shared" si="23"/>
        <v>0</v>
      </c>
      <c r="T113" s="193" t="str">
        <f t="shared" si="28"/>
        <v/>
      </c>
      <c r="U113" s="175" t="str">
        <f t="shared" si="38"/>
        <v> </v>
      </c>
      <c r="V113" s="175" t="str">
        <f t="shared" si="37"/>
        <v/>
      </c>
      <c r="W113" s="175" t="str">
        <f t="shared" si="29"/>
        <v/>
      </c>
      <c r="X113" s="175" t="str">
        <f t="shared" si="30"/>
        <v/>
      </c>
      <c r="Y113" s="195" t="str">
        <f t="shared" si="36"/>
        <v/>
      </c>
      <c r="Z113" s="195" t="str">
        <f t="shared" si="24"/>
        <v/>
      </c>
      <c r="AA113" s="195" t="str">
        <f t="shared" si="25"/>
        <v/>
      </c>
      <c r="AC113" s="196" t="str">
        <f t="shared" si="31"/>
        <v/>
      </c>
    </row>
    <row r="114" hidden="1" spans="1:29">
      <c r="A114" s="181">
        <v>113</v>
      </c>
      <c r="B114" s="181" t="s">
        <v>258</v>
      </c>
      <c r="C114" s="181" t="s">
        <v>223</v>
      </c>
      <c r="D114" s="181" t="s">
        <v>259</v>
      </c>
      <c r="E114" s="206">
        <v>7.2</v>
      </c>
      <c r="F114" s="206">
        <v>7.2</v>
      </c>
      <c r="G114" s="206">
        <v>0</v>
      </c>
      <c r="H114" s="206">
        <v>0</v>
      </c>
      <c r="I114" s="185" t="str">
        <f t="shared" si="26"/>
        <v>完工</v>
      </c>
      <c r="J114" s="208">
        <v>7.2</v>
      </c>
      <c r="K114" s="209" t="str">
        <f t="shared" si="27"/>
        <v/>
      </c>
      <c r="L114" s="186"/>
      <c r="M114" s="210">
        <v>44409</v>
      </c>
      <c r="N114" s="210">
        <v>44500</v>
      </c>
      <c r="O114" s="181" t="s">
        <v>225</v>
      </c>
      <c r="P114" s="181" t="s">
        <v>36</v>
      </c>
      <c r="Q114" s="181"/>
      <c r="R114" s="186"/>
      <c r="S114" s="193">
        <f t="shared" si="23"/>
        <v>0</v>
      </c>
      <c r="T114" s="193" t="str">
        <f t="shared" si="28"/>
        <v/>
      </c>
      <c r="U114" s="175" t="str">
        <f t="shared" si="38"/>
        <v> </v>
      </c>
      <c r="V114" s="175" t="str">
        <f t="shared" si="37"/>
        <v/>
      </c>
      <c r="W114" s="175" t="str">
        <f t="shared" si="29"/>
        <v/>
      </c>
      <c r="X114" s="175" t="str">
        <f t="shared" si="30"/>
        <v/>
      </c>
      <c r="Y114" s="195" t="str">
        <f t="shared" si="36"/>
        <v/>
      </c>
      <c r="Z114" s="195" t="str">
        <f t="shared" si="24"/>
        <v/>
      </c>
      <c r="AA114" s="195" t="str">
        <f t="shared" si="25"/>
        <v/>
      </c>
      <c r="AC114" s="196" t="str">
        <f t="shared" si="31"/>
        <v/>
      </c>
    </row>
    <row r="115" hidden="1" spans="1:29">
      <c r="A115" s="181">
        <v>114</v>
      </c>
      <c r="B115" s="181" t="s">
        <v>260</v>
      </c>
      <c r="C115" s="181" t="s">
        <v>223</v>
      </c>
      <c r="D115" s="181" t="s">
        <v>261</v>
      </c>
      <c r="E115" s="206">
        <v>1.95</v>
      </c>
      <c r="F115" s="206">
        <v>1.95</v>
      </c>
      <c r="G115" s="206">
        <v>0</v>
      </c>
      <c r="H115" s="206">
        <v>0</v>
      </c>
      <c r="I115" s="185" t="str">
        <f t="shared" si="26"/>
        <v>完工</v>
      </c>
      <c r="J115" s="208">
        <v>1.95</v>
      </c>
      <c r="K115" s="209" t="str">
        <f t="shared" si="27"/>
        <v/>
      </c>
      <c r="L115" s="186"/>
      <c r="M115" s="210">
        <v>44409</v>
      </c>
      <c r="N115" s="210">
        <v>44500</v>
      </c>
      <c r="O115" s="181" t="s">
        <v>225</v>
      </c>
      <c r="P115" s="181" t="s">
        <v>36</v>
      </c>
      <c r="Q115" s="181"/>
      <c r="R115" s="186"/>
      <c r="S115" s="193">
        <f t="shared" si="23"/>
        <v>0</v>
      </c>
      <c r="T115" s="193" t="str">
        <f t="shared" si="28"/>
        <v/>
      </c>
      <c r="U115" s="175" t="str">
        <f t="shared" si="38"/>
        <v> </v>
      </c>
      <c r="V115" s="175" t="str">
        <f t="shared" si="37"/>
        <v/>
      </c>
      <c r="W115" s="175" t="str">
        <f t="shared" si="29"/>
        <v/>
      </c>
      <c r="X115" s="175" t="str">
        <f t="shared" si="30"/>
        <v/>
      </c>
      <c r="Y115" s="195" t="str">
        <f t="shared" si="36"/>
        <v/>
      </c>
      <c r="Z115" s="195" t="str">
        <f t="shared" si="24"/>
        <v/>
      </c>
      <c r="AA115" s="195" t="str">
        <f t="shared" si="25"/>
        <v/>
      </c>
      <c r="AC115" s="196" t="str">
        <f t="shared" si="31"/>
        <v/>
      </c>
    </row>
    <row r="116" hidden="1" spans="1:29">
      <c r="A116" s="181">
        <v>115</v>
      </c>
      <c r="B116" s="181" t="s">
        <v>262</v>
      </c>
      <c r="C116" s="181" t="s">
        <v>223</v>
      </c>
      <c r="D116" s="181" t="s">
        <v>263</v>
      </c>
      <c r="E116" s="206">
        <v>9.5</v>
      </c>
      <c r="F116" s="206">
        <v>9.5</v>
      </c>
      <c r="G116" s="206">
        <v>0</v>
      </c>
      <c r="H116" s="206">
        <v>0</v>
      </c>
      <c r="I116" s="185" t="str">
        <f t="shared" si="26"/>
        <v>完工</v>
      </c>
      <c r="J116" s="208">
        <v>9.5</v>
      </c>
      <c r="K116" s="209" t="str">
        <f t="shared" si="27"/>
        <v/>
      </c>
      <c r="L116" s="186"/>
      <c r="M116" s="210">
        <v>44409</v>
      </c>
      <c r="N116" s="210">
        <v>44500</v>
      </c>
      <c r="O116" s="181" t="s">
        <v>225</v>
      </c>
      <c r="P116" s="181" t="s">
        <v>36</v>
      </c>
      <c r="Q116" s="181"/>
      <c r="R116" s="186"/>
      <c r="S116" s="193">
        <f t="shared" si="23"/>
        <v>0</v>
      </c>
      <c r="T116" s="193" t="str">
        <f t="shared" si="28"/>
        <v/>
      </c>
      <c r="U116" s="175" t="str">
        <f t="shared" si="38"/>
        <v> </v>
      </c>
      <c r="V116" s="175" t="str">
        <f t="shared" si="37"/>
        <v/>
      </c>
      <c r="W116" s="175" t="str">
        <f t="shared" si="29"/>
        <v/>
      </c>
      <c r="X116" s="175" t="str">
        <f t="shared" si="30"/>
        <v/>
      </c>
      <c r="Y116" s="195" t="str">
        <f t="shared" si="36"/>
        <v/>
      </c>
      <c r="Z116" s="195" t="str">
        <f t="shared" si="24"/>
        <v/>
      </c>
      <c r="AA116" s="195" t="str">
        <f t="shared" si="25"/>
        <v/>
      </c>
      <c r="AC116" s="196" t="str">
        <f t="shared" si="31"/>
        <v/>
      </c>
    </row>
    <row r="117" hidden="1" spans="1:29">
      <c r="A117" s="181">
        <v>116</v>
      </c>
      <c r="B117" s="181" t="s">
        <v>264</v>
      </c>
      <c r="C117" s="181" t="s">
        <v>223</v>
      </c>
      <c r="D117" s="181" t="s">
        <v>265</v>
      </c>
      <c r="E117" s="206">
        <v>1.2</v>
      </c>
      <c r="F117" s="206">
        <v>1.2</v>
      </c>
      <c r="G117" s="206">
        <v>0</v>
      </c>
      <c r="H117" s="206">
        <v>0</v>
      </c>
      <c r="I117" s="185" t="str">
        <f t="shared" si="26"/>
        <v>完工</v>
      </c>
      <c r="J117" s="208">
        <v>1.2</v>
      </c>
      <c r="K117" s="209" t="str">
        <f t="shared" si="27"/>
        <v/>
      </c>
      <c r="L117" s="186"/>
      <c r="M117" s="210">
        <v>44409</v>
      </c>
      <c r="N117" s="210">
        <v>44500</v>
      </c>
      <c r="O117" s="181" t="s">
        <v>225</v>
      </c>
      <c r="P117" s="181" t="s">
        <v>36</v>
      </c>
      <c r="Q117" s="181"/>
      <c r="R117" s="186"/>
      <c r="S117" s="193">
        <f t="shared" si="23"/>
        <v>0</v>
      </c>
      <c r="T117" s="193" t="str">
        <f t="shared" si="28"/>
        <v/>
      </c>
      <c r="U117" s="175" t="str">
        <f t="shared" si="38"/>
        <v> </v>
      </c>
      <c r="V117" s="175" t="str">
        <f t="shared" si="37"/>
        <v/>
      </c>
      <c r="W117" s="175" t="str">
        <f t="shared" si="29"/>
        <v/>
      </c>
      <c r="X117" s="175" t="str">
        <f t="shared" si="30"/>
        <v/>
      </c>
      <c r="Y117" s="195" t="str">
        <f t="shared" si="36"/>
        <v/>
      </c>
      <c r="Z117" s="195" t="str">
        <f t="shared" si="24"/>
        <v/>
      </c>
      <c r="AA117" s="195" t="str">
        <f t="shared" si="25"/>
        <v/>
      </c>
      <c r="AC117" s="196" t="str">
        <f t="shared" si="31"/>
        <v/>
      </c>
    </row>
    <row r="118" hidden="1" spans="1:29">
      <c r="A118" s="181">
        <v>117</v>
      </c>
      <c r="B118" s="181" t="s">
        <v>266</v>
      </c>
      <c r="C118" s="181" t="s">
        <v>223</v>
      </c>
      <c r="D118" s="181" t="s">
        <v>267</v>
      </c>
      <c r="E118" s="206">
        <v>44.76</v>
      </c>
      <c r="F118" s="206">
        <v>44.76</v>
      </c>
      <c r="G118" s="206">
        <v>0</v>
      </c>
      <c r="H118" s="206">
        <v>0</v>
      </c>
      <c r="I118" s="185" t="str">
        <f t="shared" si="26"/>
        <v>完工</v>
      </c>
      <c r="J118" s="208">
        <v>44.76</v>
      </c>
      <c r="K118" s="209" t="str">
        <f t="shared" si="27"/>
        <v/>
      </c>
      <c r="L118" s="186"/>
      <c r="M118" s="210">
        <v>44409</v>
      </c>
      <c r="N118" s="210">
        <v>44500</v>
      </c>
      <c r="O118" s="181" t="s">
        <v>225</v>
      </c>
      <c r="P118" s="181" t="s">
        <v>36</v>
      </c>
      <c r="Q118" s="181"/>
      <c r="R118" s="186"/>
      <c r="S118" s="193">
        <f t="shared" si="23"/>
        <v>0</v>
      </c>
      <c r="T118" s="193" t="str">
        <f t="shared" si="28"/>
        <v/>
      </c>
      <c r="U118" s="175" t="str">
        <f t="shared" si="38"/>
        <v> </v>
      </c>
      <c r="V118" s="175" t="str">
        <f t="shared" si="37"/>
        <v/>
      </c>
      <c r="W118" s="175" t="str">
        <f t="shared" si="29"/>
        <v/>
      </c>
      <c r="X118" s="175" t="str">
        <f t="shared" si="30"/>
        <v/>
      </c>
      <c r="Y118" s="195" t="str">
        <f t="shared" si="36"/>
        <v/>
      </c>
      <c r="Z118" s="195" t="str">
        <f t="shared" si="24"/>
        <v/>
      </c>
      <c r="AA118" s="195" t="str">
        <f t="shared" si="25"/>
        <v/>
      </c>
      <c r="AC118" s="196" t="str">
        <f t="shared" si="31"/>
        <v/>
      </c>
    </row>
    <row r="119" hidden="1" spans="1:29">
      <c r="A119" s="181">
        <v>118</v>
      </c>
      <c r="B119" s="181" t="s">
        <v>268</v>
      </c>
      <c r="C119" s="181" t="s">
        <v>223</v>
      </c>
      <c r="D119" s="181" t="s">
        <v>269</v>
      </c>
      <c r="E119" s="206">
        <v>0.82</v>
      </c>
      <c r="F119" s="206">
        <v>0.82</v>
      </c>
      <c r="G119" s="206">
        <v>0</v>
      </c>
      <c r="H119" s="206">
        <v>0</v>
      </c>
      <c r="I119" s="185" t="str">
        <f t="shared" si="26"/>
        <v>完工</v>
      </c>
      <c r="J119" s="208">
        <v>0.82</v>
      </c>
      <c r="K119" s="209" t="str">
        <f t="shared" si="27"/>
        <v/>
      </c>
      <c r="L119" s="186"/>
      <c r="M119" s="210">
        <v>44409</v>
      </c>
      <c r="N119" s="210">
        <v>44500</v>
      </c>
      <c r="O119" s="181" t="s">
        <v>225</v>
      </c>
      <c r="P119" s="181" t="s">
        <v>36</v>
      </c>
      <c r="Q119" s="181"/>
      <c r="R119" s="186"/>
      <c r="S119" s="193">
        <f t="shared" si="23"/>
        <v>0</v>
      </c>
      <c r="T119" s="193" t="str">
        <f t="shared" si="28"/>
        <v/>
      </c>
      <c r="U119" s="175" t="str">
        <f t="shared" si="38"/>
        <v> </v>
      </c>
      <c r="V119" s="175" t="str">
        <f t="shared" si="37"/>
        <v/>
      </c>
      <c r="W119" s="175" t="str">
        <f t="shared" si="29"/>
        <v/>
      </c>
      <c r="X119" s="175" t="str">
        <f t="shared" si="30"/>
        <v/>
      </c>
      <c r="Y119" s="195" t="str">
        <f t="shared" si="36"/>
        <v/>
      </c>
      <c r="Z119" s="195" t="str">
        <f t="shared" si="24"/>
        <v/>
      </c>
      <c r="AA119" s="195" t="str">
        <f t="shared" si="25"/>
        <v/>
      </c>
      <c r="AC119" s="196" t="str">
        <f t="shared" si="31"/>
        <v/>
      </c>
    </row>
    <row r="120" hidden="1" spans="1:29">
      <c r="A120" s="181">
        <v>119</v>
      </c>
      <c r="B120" s="181" t="s">
        <v>270</v>
      </c>
      <c r="C120" s="181" t="s">
        <v>223</v>
      </c>
      <c r="D120" s="181" t="s">
        <v>271</v>
      </c>
      <c r="E120" s="206">
        <v>9</v>
      </c>
      <c r="F120" s="206">
        <v>9</v>
      </c>
      <c r="G120" s="206">
        <v>0</v>
      </c>
      <c r="H120" s="206">
        <v>0</v>
      </c>
      <c r="I120" s="185" t="str">
        <f t="shared" si="26"/>
        <v>完工</v>
      </c>
      <c r="J120" s="208">
        <v>9</v>
      </c>
      <c r="K120" s="209" t="str">
        <f t="shared" si="27"/>
        <v/>
      </c>
      <c r="L120" s="186"/>
      <c r="M120" s="210">
        <v>44409</v>
      </c>
      <c r="N120" s="210">
        <v>44561</v>
      </c>
      <c r="O120" s="181" t="s">
        <v>225</v>
      </c>
      <c r="P120" s="181" t="s">
        <v>36</v>
      </c>
      <c r="Q120" s="181"/>
      <c r="R120" s="186"/>
      <c r="S120" s="193">
        <f t="shared" si="23"/>
        <v>0</v>
      </c>
      <c r="T120" s="193" t="str">
        <f t="shared" si="28"/>
        <v/>
      </c>
      <c r="U120" s="175" t="str">
        <f t="shared" si="38"/>
        <v> </v>
      </c>
      <c r="V120" s="175" t="str">
        <f t="shared" si="37"/>
        <v/>
      </c>
      <c r="W120" s="175" t="str">
        <f t="shared" si="29"/>
        <v/>
      </c>
      <c r="X120" s="175" t="str">
        <f t="shared" si="30"/>
        <v/>
      </c>
      <c r="Y120" s="195" t="str">
        <f t="shared" si="36"/>
        <v/>
      </c>
      <c r="Z120" s="195" t="str">
        <f t="shared" si="24"/>
        <v/>
      </c>
      <c r="AA120" s="195" t="str">
        <f t="shared" si="25"/>
        <v/>
      </c>
      <c r="AC120" s="196" t="str">
        <f t="shared" si="31"/>
        <v/>
      </c>
    </row>
    <row r="121" hidden="1" spans="1:29">
      <c r="A121" s="181">
        <v>120</v>
      </c>
      <c r="B121" s="181" t="s">
        <v>272</v>
      </c>
      <c r="C121" s="181" t="s">
        <v>223</v>
      </c>
      <c r="D121" s="181" t="s">
        <v>273</v>
      </c>
      <c r="E121" s="206">
        <v>1</v>
      </c>
      <c r="F121" s="206">
        <v>1</v>
      </c>
      <c r="G121" s="206">
        <v>0</v>
      </c>
      <c r="H121" s="206">
        <v>0</v>
      </c>
      <c r="I121" s="185" t="str">
        <f t="shared" si="26"/>
        <v>完工</v>
      </c>
      <c r="J121" s="208">
        <v>1</v>
      </c>
      <c r="K121" s="209" t="str">
        <f t="shared" si="27"/>
        <v/>
      </c>
      <c r="L121" s="186"/>
      <c r="M121" s="210">
        <v>44409</v>
      </c>
      <c r="N121" s="210">
        <v>44561</v>
      </c>
      <c r="O121" s="181" t="s">
        <v>225</v>
      </c>
      <c r="P121" s="181" t="s">
        <v>36</v>
      </c>
      <c r="Q121" s="181"/>
      <c r="R121" s="186"/>
      <c r="S121" s="193">
        <f t="shared" si="23"/>
        <v>0</v>
      </c>
      <c r="T121" s="193" t="str">
        <f t="shared" si="28"/>
        <v/>
      </c>
      <c r="U121" s="175" t="str">
        <f t="shared" si="38"/>
        <v> </v>
      </c>
      <c r="V121" s="175" t="str">
        <f t="shared" si="37"/>
        <v/>
      </c>
      <c r="W121" s="175" t="str">
        <f t="shared" si="29"/>
        <v/>
      </c>
      <c r="X121" s="175" t="str">
        <f t="shared" si="30"/>
        <v/>
      </c>
      <c r="Y121" s="195" t="str">
        <f t="shared" si="36"/>
        <v/>
      </c>
      <c r="Z121" s="195" t="str">
        <f t="shared" si="24"/>
        <v/>
      </c>
      <c r="AA121" s="195" t="str">
        <f t="shared" si="25"/>
        <v/>
      </c>
      <c r="AC121" s="196" t="str">
        <f t="shared" si="31"/>
        <v/>
      </c>
    </row>
    <row r="122" hidden="1" spans="1:29">
      <c r="A122" s="181">
        <v>121</v>
      </c>
      <c r="B122" s="181" t="s">
        <v>274</v>
      </c>
      <c r="C122" s="181" t="s">
        <v>223</v>
      </c>
      <c r="D122" s="181" t="s">
        <v>271</v>
      </c>
      <c r="E122" s="206">
        <v>1.8</v>
      </c>
      <c r="F122" s="206">
        <v>1.8</v>
      </c>
      <c r="G122" s="206">
        <v>0</v>
      </c>
      <c r="H122" s="206">
        <v>0</v>
      </c>
      <c r="I122" s="185" t="str">
        <f t="shared" si="26"/>
        <v>完工</v>
      </c>
      <c r="J122" s="208">
        <v>1.8</v>
      </c>
      <c r="K122" s="209" t="str">
        <f t="shared" si="27"/>
        <v/>
      </c>
      <c r="L122" s="186"/>
      <c r="M122" s="210">
        <v>44409</v>
      </c>
      <c r="N122" s="210">
        <v>44561</v>
      </c>
      <c r="O122" s="181" t="s">
        <v>225</v>
      </c>
      <c r="P122" s="181" t="s">
        <v>36</v>
      </c>
      <c r="Q122" s="181"/>
      <c r="R122" s="186"/>
      <c r="S122" s="193">
        <f t="shared" si="23"/>
        <v>0</v>
      </c>
      <c r="T122" s="193" t="str">
        <f t="shared" si="28"/>
        <v/>
      </c>
      <c r="U122" s="175" t="str">
        <f t="shared" si="38"/>
        <v> </v>
      </c>
      <c r="V122" s="175" t="str">
        <f t="shared" si="37"/>
        <v/>
      </c>
      <c r="W122" s="175" t="str">
        <f t="shared" si="29"/>
        <v/>
      </c>
      <c r="X122" s="175" t="str">
        <f t="shared" si="30"/>
        <v/>
      </c>
      <c r="Y122" s="195" t="str">
        <f t="shared" si="36"/>
        <v/>
      </c>
      <c r="Z122" s="195" t="str">
        <f t="shared" si="24"/>
        <v/>
      </c>
      <c r="AA122" s="195" t="str">
        <f t="shared" si="25"/>
        <v/>
      </c>
      <c r="AC122" s="196" t="str">
        <f t="shared" si="31"/>
        <v/>
      </c>
    </row>
    <row r="123" hidden="1" spans="1:29">
      <c r="A123" s="181">
        <v>122</v>
      </c>
      <c r="B123" s="181" t="s">
        <v>275</v>
      </c>
      <c r="C123" s="181" t="s">
        <v>223</v>
      </c>
      <c r="D123" s="181" t="s">
        <v>273</v>
      </c>
      <c r="E123" s="206">
        <v>1.2</v>
      </c>
      <c r="F123" s="206">
        <v>1.2</v>
      </c>
      <c r="G123" s="206">
        <v>0</v>
      </c>
      <c r="H123" s="206">
        <v>0</v>
      </c>
      <c r="I123" s="185" t="str">
        <f t="shared" si="26"/>
        <v>完工</v>
      </c>
      <c r="J123" s="208">
        <v>1.2</v>
      </c>
      <c r="K123" s="209" t="str">
        <f t="shared" si="27"/>
        <v/>
      </c>
      <c r="L123" s="186"/>
      <c r="M123" s="210">
        <v>44409</v>
      </c>
      <c r="N123" s="210">
        <v>44561</v>
      </c>
      <c r="O123" s="181" t="s">
        <v>225</v>
      </c>
      <c r="P123" s="181" t="s">
        <v>36</v>
      </c>
      <c r="Q123" s="181"/>
      <c r="R123" s="186"/>
      <c r="S123" s="193">
        <f t="shared" si="23"/>
        <v>0</v>
      </c>
      <c r="T123" s="193" t="str">
        <f t="shared" si="28"/>
        <v/>
      </c>
      <c r="U123" s="175" t="str">
        <f t="shared" si="38"/>
        <v> </v>
      </c>
      <c r="V123" s="175" t="str">
        <f t="shared" si="37"/>
        <v/>
      </c>
      <c r="W123" s="175" t="str">
        <f t="shared" si="29"/>
        <v/>
      </c>
      <c r="X123" s="175" t="str">
        <f t="shared" si="30"/>
        <v/>
      </c>
      <c r="Y123" s="195" t="str">
        <f t="shared" si="36"/>
        <v/>
      </c>
      <c r="Z123" s="195" t="str">
        <f t="shared" si="24"/>
        <v/>
      </c>
      <c r="AA123" s="195" t="str">
        <f t="shared" si="25"/>
        <v/>
      </c>
      <c r="AC123" s="196" t="str">
        <f t="shared" si="31"/>
        <v/>
      </c>
    </row>
    <row r="124" hidden="1" spans="1:29">
      <c r="A124" s="181">
        <v>123</v>
      </c>
      <c r="B124" s="181" t="s">
        <v>276</v>
      </c>
      <c r="C124" s="181" t="s">
        <v>223</v>
      </c>
      <c r="D124" s="181" t="s">
        <v>277</v>
      </c>
      <c r="E124" s="206">
        <v>4</v>
      </c>
      <c r="F124" s="206">
        <v>4</v>
      </c>
      <c r="G124" s="206">
        <v>0</v>
      </c>
      <c r="H124" s="206">
        <v>0</v>
      </c>
      <c r="I124" s="185" t="str">
        <f t="shared" si="26"/>
        <v>完工</v>
      </c>
      <c r="J124" s="208">
        <v>4</v>
      </c>
      <c r="K124" s="209" t="str">
        <f t="shared" si="27"/>
        <v/>
      </c>
      <c r="L124" s="186"/>
      <c r="M124" s="210">
        <v>44440</v>
      </c>
      <c r="N124" s="210">
        <v>44499</v>
      </c>
      <c r="O124" s="181" t="s">
        <v>225</v>
      </c>
      <c r="P124" s="181" t="s">
        <v>42</v>
      </c>
      <c r="Q124" s="181"/>
      <c r="R124" s="186"/>
      <c r="S124" s="193">
        <f t="shared" si="23"/>
        <v>0</v>
      </c>
      <c r="T124" s="193" t="str">
        <f t="shared" si="28"/>
        <v/>
      </c>
      <c r="U124" s="175" t="str">
        <f t="shared" si="38"/>
        <v> </v>
      </c>
      <c r="V124" s="175" t="str">
        <f t="shared" si="37"/>
        <v/>
      </c>
      <c r="W124" s="175" t="str">
        <f t="shared" si="29"/>
        <v/>
      </c>
      <c r="X124" s="175" t="str">
        <f t="shared" si="30"/>
        <v/>
      </c>
      <c r="Y124" s="195" t="str">
        <f t="shared" si="36"/>
        <v/>
      </c>
      <c r="Z124" s="195" t="str">
        <f t="shared" si="24"/>
        <v/>
      </c>
      <c r="AA124" s="195" t="str">
        <f t="shared" si="25"/>
        <v/>
      </c>
      <c r="AC124" s="196" t="str">
        <f t="shared" si="31"/>
        <v/>
      </c>
    </row>
    <row r="125" hidden="1" spans="1:29">
      <c r="A125" s="181">
        <v>124</v>
      </c>
      <c r="B125" s="181" t="s">
        <v>278</v>
      </c>
      <c r="C125" s="181" t="s">
        <v>223</v>
      </c>
      <c r="D125" s="181" t="s">
        <v>279</v>
      </c>
      <c r="E125" s="206">
        <v>4</v>
      </c>
      <c r="F125" s="206">
        <v>4</v>
      </c>
      <c r="G125" s="206">
        <v>0</v>
      </c>
      <c r="H125" s="206">
        <v>0</v>
      </c>
      <c r="I125" s="185" t="str">
        <f t="shared" si="26"/>
        <v>完工</v>
      </c>
      <c r="J125" s="208">
        <v>4</v>
      </c>
      <c r="K125" s="209" t="str">
        <f t="shared" si="27"/>
        <v/>
      </c>
      <c r="L125" s="186"/>
      <c r="M125" s="210">
        <v>44440</v>
      </c>
      <c r="N125" s="210">
        <v>44499</v>
      </c>
      <c r="O125" s="181" t="s">
        <v>225</v>
      </c>
      <c r="P125" s="181" t="s">
        <v>42</v>
      </c>
      <c r="Q125" s="181"/>
      <c r="R125" s="186"/>
      <c r="S125" s="193">
        <f t="shared" si="23"/>
        <v>0</v>
      </c>
      <c r="T125" s="193" t="str">
        <f t="shared" si="28"/>
        <v/>
      </c>
      <c r="U125" s="175" t="str">
        <f t="shared" si="38"/>
        <v> </v>
      </c>
      <c r="V125" s="175" t="str">
        <f t="shared" si="37"/>
        <v/>
      </c>
      <c r="W125" s="175" t="str">
        <f t="shared" si="29"/>
        <v/>
      </c>
      <c r="X125" s="175" t="str">
        <f t="shared" si="30"/>
        <v/>
      </c>
      <c r="Y125" s="195" t="str">
        <f t="shared" si="36"/>
        <v/>
      </c>
      <c r="Z125" s="195" t="str">
        <f t="shared" si="24"/>
        <v/>
      </c>
      <c r="AA125" s="195" t="str">
        <f t="shared" si="25"/>
        <v/>
      </c>
      <c r="AC125" s="196" t="str">
        <f t="shared" si="31"/>
        <v/>
      </c>
    </row>
    <row r="126" hidden="1" spans="1:29">
      <c r="A126" s="181">
        <v>125</v>
      </c>
      <c r="B126" s="181" t="s">
        <v>280</v>
      </c>
      <c r="C126" s="181" t="s">
        <v>223</v>
      </c>
      <c r="D126" s="181" t="s">
        <v>281</v>
      </c>
      <c r="E126" s="206">
        <v>1.8</v>
      </c>
      <c r="F126" s="206">
        <v>1.8</v>
      </c>
      <c r="G126" s="206">
        <v>0</v>
      </c>
      <c r="H126" s="206">
        <v>0</v>
      </c>
      <c r="I126" s="185" t="str">
        <f t="shared" si="26"/>
        <v>完工</v>
      </c>
      <c r="J126" s="208">
        <v>1.8</v>
      </c>
      <c r="K126" s="209" t="str">
        <f t="shared" si="27"/>
        <v/>
      </c>
      <c r="L126" s="186"/>
      <c r="M126" s="210">
        <v>44440</v>
      </c>
      <c r="N126" s="210">
        <v>44499</v>
      </c>
      <c r="O126" s="181" t="s">
        <v>225</v>
      </c>
      <c r="P126" s="181" t="s">
        <v>42</v>
      </c>
      <c r="Q126" s="181"/>
      <c r="R126" s="186"/>
      <c r="S126" s="193">
        <f t="shared" si="23"/>
        <v>0</v>
      </c>
      <c r="T126" s="193" t="str">
        <f t="shared" si="28"/>
        <v/>
      </c>
      <c r="U126" s="175" t="str">
        <f t="shared" si="38"/>
        <v> </v>
      </c>
      <c r="V126" s="175" t="str">
        <f t="shared" si="37"/>
        <v/>
      </c>
      <c r="W126" s="175" t="str">
        <f t="shared" si="29"/>
        <v/>
      </c>
      <c r="X126" s="175" t="str">
        <f t="shared" si="30"/>
        <v/>
      </c>
      <c r="Y126" s="195" t="str">
        <f t="shared" si="36"/>
        <v/>
      </c>
      <c r="Z126" s="195" t="str">
        <f t="shared" si="24"/>
        <v/>
      </c>
      <c r="AA126" s="195" t="str">
        <f t="shared" si="25"/>
        <v/>
      </c>
      <c r="AC126" s="196" t="str">
        <f t="shared" si="31"/>
        <v/>
      </c>
    </row>
    <row r="127" hidden="1" spans="1:29">
      <c r="A127" s="181">
        <v>126</v>
      </c>
      <c r="B127" s="181" t="s">
        <v>282</v>
      </c>
      <c r="C127" s="181" t="s">
        <v>223</v>
      </c>
      <c r="D127" s="181" t="s">
        <v>283</v>
      </c>
      <c r="E127" s="206">
        <v>1.2</v>
      </c>
      <c r="F127" s="206">
        <v>1.2</v>
      </c>
      <c r="G127" s="206">
        <v>0</v>
      </c>
      <c r="H127" s="206">
        <v>0</v>
      </c>
      <c r="I127" s="185" t="str">
        <f t="shared" si="26"/>
        <v>完工</v>
      </c>
      <c r="J127" s="208">
        <v>1.2</v>
      </c>
      <c r="K127" s="209" t="str">
        <f t="shared" si="27"/>
        <v/>
      </c>
      <c r="L127" s="186"/>
      <c r="M127" s="210">
        <v>44440</v>
      </c>
      <c r="N127" s="210">
        <v>44499</v>
      </c>
      <c r="O127" s="181" t="s">
        <v>225</v>
      </c>
      <c r="P127" s="181" t="s">
        <v>42</v>
      </c>
      <c r="Q127" s="181"/>
      <c r="R127" s="186"/>
      <c r="S127" s="193">
        <f t="shared" si="23"/>
        <v>0</v>
      </c>
      <c r="T127" s="193" t="str">
        <f t="shared" si="28"/>
        <v/>
      </c>
      <c r="U127" s="175" t="str">
        <f t="shared" si="38"/>
        <v> </v>
      </c>
      <c r="V127" s="175" t="str">
        <f t="shared" si="37"/>
        <v/>
      </c>
      <c r="W127" s="175" t="str">
        <f t="shared" si="29"/>
        <v/>
      </c>
      <c r="X127" s="175" t="str">
        <f t="shared" si="30"/>
        <v/>
      </c>
      <c r="Y127" s="195" t="str">
        <f t="shared" si="36"/>
        <v/>
      </c>
      <c r="Z127" s="195" t="str">
        <f t="shared" si="24"/>
        <v/>
      </c>
      <c r="AA127" s="195" t="str">
        <f t="shared" si="25"/>
        <v/>
      </c>
      <c r="AC127" s="196" t="str">
        <f t="shared" si="31"/>
        <v/>
      </c>
    </row>
    <row r="128" hidden="1" spans="1:29">
      <c r="A128" s="181">
        <v>127</v>
      </c>
      <c r="B128" s="181" t="s">
        <v>284</v>
      </c>
      <c r="C128" s="181" t="s">
        <v>223</v>
      </c>
      <c r="D128" s="181" t="s">
        <v>285</v>
      </c>
      <c r="E128" s="206">
        <v>3.5</v>
      </c>
      <c r="F128" s="206">
        <v>3.5</v>
      </c>
      <c r="G128" s="206">
        <v>0</v>
      </c>
      <c r="H128" s="206">
        <v>0</v>
      </c>
      <c r="I128" s="185" t="str">
        <f t="shared" si="26"/>
        <v>完工</v>
      </c>
      <c r="J128" s="208">
        <v>3.5</v>
      </c>
      <c r="K128" s="209" t="str">
        <f t="shared" si="27"/>
        <v/>
      </c>
      <c r="L128" s="186"/>
      <c r="M128" s="210">
        <v>44440</v>
      </c>
      <c r="N128" s="210">
        <v>44499</v>
      </c>
      <c r="O128" s="181" t="s">
        <v>225</v>
      </c>
      <c r="P128" s="181" t="s">
        <v>42</v>
      </c>
      <c r="Q128" s="181"/>
      <c r="R128" s="186"/>
      <c r="S128" s="193">
        <f t="shared" si="23"/>
        <v>0</v>
      </c>
      <c r="T128" s="193" t="str">
        <f t="shared" si="28"/>
        <v/>
      </c>
      <c r="U128" s="175" t="str">
        <f t="shared" si="38"/>
        <v> </v>
      </c>
      <c r="V128" s="175" t="str">
        <f t="shared" si="37"/>
        <v/>
      </c>
      <c r="W128" s="175" t="str">
        <f t="shared" si="29"/>
        <v/>
      </c>
      <c r="X128" s="175" t="str">
        <f t="shared" si="30"/>
        <v/>
      </c>
      <c r="Y128" s="195" t="str">
        <f t="shared" si="36"/>
        <v/>
      </c>
      <c r="Z128" s="195" t="str">
        <f t="shared" si="24"/>
        <v/>
      </c>
      <c r="AA128" s="195" t="str">
        <f t="shared" si="25"/>
        <v/>
      </c>
      <c r="AC128" s="196" t="str">
        <f t="shared" si="31"/>
        <v/>
      </c>
    </row>
    <row r="129" hidden="1" spans="1:29">
      <c r="A129" s="181">
        <v>128</v>
      </c>
      <c r="B129" s="181" t="s">
        <v>286</v>
      </c>
      <c r="C129" s="181" t="s">
        <v>223</v>
      </c>
      <c r="D129" s="181" t="s">
        <v>287</v>
      </c>
      <c r="E129" s="206">
        <v>1.2</v>
      </c>
      <c r="F129" s="206">
        <v>1.2</v>
      </c>
      <c r="G129" s="206">
        <v>0</v>
      </c>
      <c r="H129" s="206">
        <v>0</v>
      </c>
      <c r="I129" s="185" t="str">
        <f t="shared" si="26"/>
        <v>完工</v>
      </c>
      <c r="J129" s="208">
        <v>1.2</v>
      </c>
      <c r="K129" s="209" t="str">
        <f t="shared" si="27"/>
        <v/>
      </c>
      <c r="L129" s="186"/>
      <c r="M129" s="210">
        <v>44440</v>
      </c>
      <c r="N129" s="210">
        <v>44499</v>
      </c>
      <c r="O129" s="181" t="s">
        <v>225</v>
      </c>
      <c r="P129" s="181" t="s">
        <v>42</v>
      </c>
      <c r="Q129" s="181"/>
      <c r="R129" s="186"/>
      <c r="S129" s="193">
        <f t="shared" si="23"/>
        <v>0</v>
      </c>
      <c r="T129" s="193" t="str">
        <f t="shared" si="28"/>
        <v/>
      </c>
      <c r="U129" s="175" t="str">
        <f t="shared" si="38"/>
        <v> </v>
      </c>
      <c r="V129" s="175" t="str">
        <f t="shared" si="37"/>
        <v/>
      </c>
      <c r="W129" s="175" t="str">
        <f t="shared" si="29"/>
        <v/>
      </c>
      <c r="X129" s="175" t="str">
        <f t="shared" si="30"/>
        <v/>
      </c>
      <c r="Y129" s="195" t="str">
        <f t="shared" si="36"/>
        <v/>
      </c>
      <c r="Z129" s="195" t="str">
        <f t="shared" si="24"/>
        <v/>
      </c>
      <c r="AA129" s="195" t="str">
        <f t="shared" si="25"/>
        <v/>
      </c>
      <c r="AC129" s="196" t="str">
        <f t="shared" si="31"/>
        <v/>
      </c>
    </row>
    <row r="130" hidden="1" spans="1:29">
      <c r="A130" s="181">
        <v>129</v>
      </c>
      <c r="B130" s="181" t="s">
        <v>288</v>
      </c>
      <c r="C130" s="181" t="s">
        <v>223</v>
      </c>
      <c r="D130" s="181" t="s">
        <v>289</v>
      </c>
      <c r="E130" s="206">
        <v>0.5</v>
      </c>
      <c r="F130" s="206">
        <v>0.5</v>
      </c>
      <c r="G130" s="206">
        <v>0</v>
      </c>
      <c r="H130" s="206">
        <v>0</v>
      </c>
      <c r="I130" s="185" t="str">
        <f t="shared" si="26"/>
        <v>完工</v>
      </c>
      <c r="J130" s="208">
        <v>0.5</v>
      </c>
      <c r="K130" s="209" t="str">
        <f t="shared" si="27"/>
        <v/>
      </c>
      <c r="L130" s="186"/>
      <c r="M130" s="210">
        <v>44440</v>
      </c>
      <c r="N130" s="210">
        <v>44499</v>
      </c>
      <c r="O130" s="181" t="s">
        <v>225</v>
      </c>
      <c r="P130" s="181" t="s">
        <v>42</v>
      </c>
      <c r="Q130" s="181"/>
      <c r="R130" s="186"/>
      <c r="S130" s="193">
        <f t="shared" ref="S130:S193" si="39">E130-F130-G130-H130</f>
        <v>0</v>
      </c>
      <c r="T130" s="193" t="str">
        <f t="shared" si="28"/>
        <v/>
      </c>
      <c r="U130" s="175" t="str">
        <f t="shared" si="38"/>
        <v> </v>
      </c>
      <c r="V130" s="175" t="str">
        <f t="shared" si="37"/>
        <v/>
      </c>
      <c r="W130" s="175" t="str">
        <f t="shared" si="29"/>
        <v/>
      </c>
      <c r="X130" s="175" t="str">
        <f t="shared" si="30"/>
        <v/>
      </c>
      <c r="Y130" s="195" t="str">
        <f t="shared" si="36"/>
        <v/>
      </c>
      <c r="Z130" s="195" t="str">
        <f t="shared" ref="Z130:Z193" si="40">IF(I130="完工","",ROUND(K130/G130,3))</f>
        <v/>
      </c>
      <c r="AA130" s="195" t="str">
        <f t="shared" ref="AA130:AA193" si="41">IF(I130="完工","",Z130-Y130)</f>
        <v/>
      </c>
      <c r="AC130" s="196" t="str">
        <f t="shared" si="31"/>
        <v/>
      </c>
    </row>
    <row r="131" hidden="1" spans="1:29">
      <c r="A131" s="181">
        <v>130</v>
      </c>
      <c r="B131" s="181" t="s">
        <v>290</v>
      </c>
      <c r="C131" s="181" t="s">
        <v>223</v>
      </c>
      <c r="D131" s="181" t="s">
        <v>291</v>
      </c>
      <c r="E131" s="206">
        <v>1.2</v>
      </c>
      <c r="F131" s="206">
        <v>1.2</v>
      </c>
      <c r="G131" s="206">
        <v>0</v>
      </c>
      <c r="H131" s="206">
        <v>0</v>
      </c>
      <c r="I131" s="185" t="str">
        <f t="shared" ref="I131:I194" si="42">IF(E131=0,"完工",IF(J131&gt;0,IF(J131=E131,"完工","在建"),"未开工"))</f>
        <v>完工</v>
      </c>
      <c r="J131" s="208">
        <v>1.2</v>
      </c>
      <c r="K131" s="209" t="str">
        <f t="shared" ref="K131:K194" si="43">IF(G131=0,"",J131-F131)</f>
        <v/>
      </c>
      <c r="L131" s="186"/>
      <c r="M131" s="210">
        <v>44440</v>
      </c>
      <c r="N131" s="210">
        <v>44499</v>
      </c>
      <c r="O131" s="181" t="s">
        <v>225</v>
      </c>
      <c r="P131" s="181" t="s">
        <v>42</v>
      </c>
      <c r="Q131" s="181"/>
      <c r="R131" s="186"/>
      <c r="S131" s="193">
        <f t="shared" si="39"/>
        <v>0</v>
      </c>
      <c r="T131" s="193" t="str">
        <f t="shared" ref="T131:T194" si="44">IF(I131="完工","",J131-F131-K131)</f>
        <v/>
      </c>
      <c r="U131" s="175" t="str">
        <f t="shared" si="38"/>
        <v> </v>
      </c>
      <c r="V131" s="175" t="str">
        <f t="shared" si="37"/>
        <v/>
      </c>
      <c r="W131" s="175" t="str">
        <f t="shared" ref="W131:W194" si="45">IF(I131="完工","",12-U131-V131)</f>
        <v/>
      </c>
      <c r="X131" s="175" t="str">
        <f t="shared" ref="X131:X194" si="46">IF(I131="完工","",$AB$2-U131)</f>
        <v/>
      </c>
      <c r="Y131" s="195" t="str">
        <f t="shared" si="36"/>
        <v/>
      </c>
      <c r="Z131" s="195" t="str">
        <f t="shared" si="40"/>
        <v/>
      </c>
      <c r="AA131" s="195" t="str">
        <f t="shared" si="41"/>
        <v/>
      </c>
      <c r="AC131" s="196" t="str">
        <f t="shared" ref="AC131:AC194" si="47">IF(E131=0,"",IF(ROUND(J131/E131,3)=1,"",ROUND(J131/E131,3)))</f>
        <v/>
      </c>
    </row>
    <row r="132" hidden="1" spans="1:29">
      <c r="A132" s="181">
        <v>131</v>
      </c>
      <c r="B132" s="181" t="s">
        <v>292</v>
      </c>
      <c r="C132" s="181" t="s">
        <v>223</v>
      </c>
      <c r="D132" s="181" t="s">
        <v>293</v>
      </c>
      <c r="E132" s="206">
        <v>2</v>
      </c>
      <c r="F132" s="206">
        <v>2</v>
      </c>
      <c r="G132" s="206">
        <v>0</v>
      </c>
      <c r="H132" s="206">
        <v>0</v>
      </c>
      <c r="I132" s="185" t="str">
        <f t="shared" si="42"/>
        <v>完工</v>
      </c>
      <c r="J132" s="208">
        <v>2</v>
      </c>
      <c r="K132" s="209" t="str">
        <f t="shared" si="43"/>
        <v/>
      </c>
      <c r="L132" s="186"/>
      <c r="M132" s="210">
        <v>44440</v>
      </c>
      <c r="N132" s="210">
        <v>44499</v>
      </c>
      <c r="O132" s="181" t="s">
        <v>225</v>
      </c>
      <c r="P132" s="181" t="s">
        <v>42</v>
      </c>
      <c r="Q132" s="181"/>
      <c r="R132" s="186"/>
      <c r="S132" s="193">
        <f t="shared" si="39"/>
        <v>0</v>
      </c>
      <c r="T132" s="193" t="str">
        <f t="shared" si="44"/>
        <v/>
      </c>
      <c r="U132" s="175" t="str">
        <f t="shared" si="38"/>
        <v> </v>
      </c>
      <c r="V132" s="175" t="str">
        <f t="shared" si="37"/>
        <v/>
      </c>
      <c r="W132" s="175" t="str">
        <f t="shared" si="45"/>
        <v/>
      </c>
      <c r="X132" s="175" t="str">
        <f t="shared" si="46"/>
        <v/>
      </c>
      <c r="Y132" s="195" t="str">
        <f t="shared" si="36"/>
        <v/>
      </c>
      <c r="Z132" s="195" t="str">
        <f t="shared" si="40"/>
        <v/>
      </c>
      <c r="AA132" s="195" t="str">
        <f t="shared" si="41"/>
        <v/>
      </c>
      <c r="AC132" s="196" t="str">
        <f t="shared" si="47"/>
        <v/>
      </c>
    </row>
    <row r="133" hidden="1" spans="1:29">
      <c r="A133" s="181">
        <v>132</v>
      </c>
      <c r="B133" s="181" t="s">
        <v>294</v>
      </c>
      <c r="C133" s="181" t="s">
        <v>223</v>
      </c>
      <c r="D133" s="181" t="s">
        <v>295</v>
      </c>
      <c r="E133" s="206">
        <v>3</v>
      </c>
      <c r="F133" s="206">
        <v>3</v>
      </c>
      <c r="G133" s="206">
        <v>0</v>
      </c>
      <c r="H133" s="206">
        <v>0</v>
      </c>
      <c r="I133" s="185" t="str">
        <f t="shared" si="42"/>
        <v>完工</v>
      </c>
      <c r="J133" s="208">
        <v>3</v>
      </c>
      <c r="K133" s="209" t="str">
        <f t="shared" si="43"/>
        <v/>
      </c>
      <c r="L133" s="186"/>
      <c r="M133" s="210">
        <v>44470</v>
      </c>
      <c r="N133" s="210">
        <v>44560</v>
      </c>
      <c r="O133" s="181" t="s">
        <v>225</v>
      </c>
      <c r="P133" s="181" t="s">
        <v>42</v>
      </c>
      <c r="Q133" s="181"/>
      <c r="R133" s="186"/>
      <c r="S133" s="193">
        <f t="shared" si="39"/>
        <v>0</v>
      </c>
      <c r="T133" s="193" t="str">
        <f t="shared" si="44"/>
        <v/>
      </c>
      <c r="U133" s="175" t="str">
        <f t="shared" si="38"/>
        <v> </v>
      </c>
      <c r="V133" s="175" t="str">
        <f t="shared" si="37"/>
        <v/>
      </c>
      <c r="W133" s="175" t="str">
        <f t="shared" si="45"/>
        <v/>
      </c>
      <c r="X133" s="175" t="str">
        <f t="shared" si="46"/>
        <v/>
      </c>
      <c r="Y133" s="195" t="str">
        <f t="shared" si="36"/>
        <v/>
      </c>
      <c r="Z133" s="195" t="str">
        <f t="shared" si="40"/>
        <v/>
      </c>
      <c r="AA133" s="195" t="str">
        <f t="shared" si="41"/>
        <v/>
      </c>
      <c r="AC133" s="196" t="str">
        <f t="shared" si="47"/>
        <v/>
      </c>
    </row>
    <row r="134" hidden="1" spans="1:29">
      <c r="A134" s="181">
        <v>133</v>
      </c>
      <c r="B134" s="181" t="s">
        <v>296</v>
      </c>
      <c r="C134" s="181" t="s">
        <v>223</v>
      </c>
      <c r="D134" s="181" t="s">
        <v>279</v>
      </c>
      <c r="E134" s="206">
        <v>5</v>
      </c>
      <c r="F134" s="206">
        <v>5</v>
      </c>
      <c r="G134" s="206">
        <v>0</v>
      </c>
      <c r="H134" s="206">
        <v>0</v>
      </c>
      <c r="I134" s="185" t="str">
        <f t="shared" si="42"/>
        <v>完工</v>
      </c>
      <c r="J134" s="208">
        <v>5</v>
      </c>
      <c r="K134" s="209" t="str">
        <f t="shared" si="43"/>
        <v/>
      </c>
      <c r="L134" s="186"/>
      <c r="M134" s="210">
        <v>44470</v>
      </c>
      <c r="N134" s="210">
        <v>44560</v>
      </c>
      <c r="O134" s="181" t="s">
        <v>225</v>
      </c>
      <c r="P134" s="181" t="s">
        <v>42</v>
      </c>
      <c r="Q134" s="181"/>
      <c r="R134" s="186"/>
      <c r="S134" s="193">
        <f t="shared" si="39"/>
        <v>0</v>
      </c>
      <c r="T134" s="193" t="str">
        <f t="shared" si="44"/>
        <v/>
      </c>
      <c r="U134" s="175" t="str">
        <f t="shared" si="38"/>
        <v> </v>
      </c>
      <c r="V134" s="175" t="str">
        <f t="shared" si="37"/>
        <v/>
      </c>
      <c r="W134" s="175" t="str">
        <f t="shared" si="45"/>
        <v/>
      </c>
      <c r="X134" s="175" t="str">
        <f t="shared" si="46"/>
        <v/>
      </c>
      <c r="Y134" s="195" t="str">
        <f t="shared" si="36"/>
        <v/>
      </c>
      <c r="Z134" s="195" t="str">
        <f t="shared" si="40"/>
        <v/>
      </c>
      <c r="AA134" s="195" t="str">
        <f t="shared" si="41"/>
        <v/>
      </c>
      <c r="AC134" s="196" t="str">
        <f t="shared" si="47"/>
        <v/>
      </c>
    </row>
    <row r="135" hidden="1" spans="1:29">
      <c r="A135" s="181">
        <v>134</v>
      </c>
      <c r="B135" s="181" t="s">
        <v>297</v>
      </c>
      <c r="C135" s="181" t="s">
        <v>223</v>
      </c>
      <c r="D135" s="181" t="s">
        <v>298</v>
      </c>
      <c r="E135" s="206">
        <v>6</v>
      </c>
      <c r="F135" s="206">
        <v>6</v>
      </c>
      <c r="G135" s="206">
        <v>0</v>
      </c>
      <c r="H135" s="206">
        <v>0</v>
      </c>
      <c r="I135" s="185" t="str">
        <f t="shared" si="42"/>
        <v>完工</v>
      </c>
      <c r="J135" s="208">
        <v>6</v>
      </c>
      <c r="K135" s="209" t="str">
        <f t="shared" si="43"/>
        <v/>
      </c>
      <c r="L135" s="186"/>
      <c r="M135" s="210">
        <v>44440</v>
      </c>
      <c r="N135" s="210">
        <v>44499</v>
      </c>
      <c r="O135" s="181" t="s">
        <v>225</v>
      </c>
      <c r="P135" s="181" t="s">
        <v>42</v>
      </c>
      <c r="Q135" s="181"/>
      <c r="R135" s="186"/>
      <c r="S135" s="193">
        <f t="shared" si="39"/>
        <v>0</v>
      </c>
      <c r="T135" s="193" t="str">
        <f t="shared" si="44"/>
        <v/>
      </c>
      <c r="U135" s="175" t="str">
        <f t="shared" ref="U135:U166" si="48">IF(I135="完工"," ",0)</f>
        <v> </v>
      </c>
      <c r="V135" s="175" t="str">
        <f t="shared" si="37"/>
        <v/>
      </c>
      <c r="W135" s="175" t="str">
        <f t="shared" si="45"/>
        <v/>
      </c>
      <c r="X135" s="175" t="str">
        <f t="shared" si="46"/>
        <v/>
      </c>
      <c r="Y135" s="195" t="str">
        <f t="shared" si="36"/>
        <v/>
      </c>
      <c r="Z135" s="195" t="str">
        <f t="shared" si="40"/>
        <v/>
      </c>
      <c r="AA135" s="195" t="str">
        <f t="shared" si="41"/>
        <v/>
      </c>
      <c r="AC135" s="196" t="str">
        <f t="shared" si="47"/>
        <v/>
      </c>
    </row>
    <row r="136" hidden="1" spans="1:29">
      <c r="A136" s="181">
        <v>135</v>
      </c>
      <c r="B136" s="181" t="s">
        <v>299</v>
      </c>
      <c r="C136" s="181" t="s">
        <v>223</v>
      </c>
      <c r="D136" s="181" t="s">
        <v>279</v>
      </c>
      <c r="E136" s="206">
        <v>2</v>
      </c>
      <c r="F136" s="206">
        <v>2</v>
      </c>
      <c r="G136" s="206">
        <v>0</v>
      </c>
      <c r="H136" s="206">
        <v>0</v>
      </c>
      <c r="I136" s="185" t="str">
        <f t="shared" si="42"/>
        <v>完工</v>
      </c>
      <c r="J136" s="208">
        <v>2</v>
      </c>
      <c r="K136" s="209" t="str">
        <f t="shared" si="43"/>
        <v/>
      </c>
      <c r="L136" s="186"/>
      <c r="M136" s="210">
        <v>44440</v>
      </c>
      <c r="N136" s="210">
        <v>44499</v>
      </c>
      <c r="O136" s="181" t="s">
        <v>225</v>
      </c>
      <c r="P136" s="181" t="s">
        <v>42</v>
      </c>
      <c r="Q136" s="181"/>
      <c r="R136" s="186"/>
      <c r="S136" s="193">
        <f t="shared" si="39"/>
        <v>0</v>
      </c>
      <c r="T136" s="193" t="str">
        <f t="shared" si="44"/>
        <v/>
      </c>
      <c r="U136" s="175" t="str">
        <f t="shared" si="48"/>
        <v> </v>
      </c>
      <c r="V136" s="175" t="str">
        <f t="shared" si="37"/>
        <v/>
      </c>
      <c r="W136" s="175" t="str">
        <f t="shared" si="45"/>
        <v/>
      </c>
      <c r="X136" s="175" t="str">
        <f t="shared" si="46"/>
        <v/>
      </c>
      <c r="Y136" s="195" t="str">
        <f t="shared" si="36"/>
        <v/>
      </c>
      <c r="Z136" s="195" t="str">
        <f t="shared" si="40"/>
        <v/>
      </c>
      <c r="AA136" s="195" t="str">
        <f t="shared" si="41"/>
        <v/>
      </c>
      <c r="AC136" s="196" t="str">
        <f t="shared" si="47"/>
        <v/>
      </c>
    </row>
    <row r="137" hidden="1" spans="1:29">
      <c r="A137" s="181">
        <v>136</v>
      </c>
      <c r="B137" s="181" t="s">
        <v>300</v>
      </c>
      <c r="C137" s="181" t="s">
        <v>223</v>
      </c>
      <c r="D137" s="181" t="s">
        <v>301</v>
      </c>
      <c r="E137" s="206">
        <v>6</v>
      </c>
      <c r="F137" s="206">
        <v>6</v>
      </c>
      <c r="G137" s="206">
        <v>0</v>
      </c>
      <c r="H137" s="206">
        <v>0</v>
      </c>
      <c r="I137" s="185" t="str">
        <f t="shared" si="42"/>
        <v>完工</v>
      </c>
      <c r="J137" s="208">
        <v>6</v>
      </c>
      <c r="K137" s="209" t="str">
        <f t="shared" si="43"/>
        <v/>
      </c>
      <c r="L137" s="186"/>
      <c r="M137" s="210">
        <v>44470</v>
      </c>
      <c r="N137" s="210">
        <v>44560</v>
      </c>
      <c r="O137" s="181" t="s">
        <v>225</v>
      </c>
      <c r="P137" s="181" t="s">
        <v>42</v>
      </c>
      <c r="Q137" s="181"/>
      <c r="R137" s="186"/>
      <c r="S137" s="193">
        <f t="shared" si="39"/>
        <v>0</v>
      </c>
      <c r="T137" s="193" t="str">
        <f t="shared" si="44"/>
        <v/>
      </c>
      <c r="U137" s="175" t="str">
        <f t="shared" si="48"/>
        <v> </v>
      </c>
      <c r="V137" s="175" t="str">
        <f t="shared" si="37"/>
        <v/>
      </c>
      <c r="W137" s="175" t="str">
        <f t="shared" si="45"/>
        <v/>
      </c>
      <c r="X137" s="175" t="str">
        <f t="shared" si="46"/>
        <v/>
      </c>
      <c r="Y137" s="195" t="str">
        <f t="shared" si="36"/>
        <v/>
      </c>
      <c r="Z137" s="195" t="str">
        <f t="shared" si="40"/>
        <v/>
      </c>
      <c r="AA137" s="195" t="str">
        <f t="shared" si="41"/>
        <v/>
      </c>
      <c r="AC137" s="196" t="str">
        <f t="shared" si="47"/>
        <v/>
      </c>
    </row>
    <row r="138" hidden="1" spans="1:29">
      <c r="A138" s="181">
        <v>137</v>
      </c>
      <c r="B138" s="181" t="s">
        <v>302</v>
      </c>
      <c r="C138" s="181" t="s">
        <v>223</v>
      </c>
      <c r="D138" s="181" t="s">
        <v>303</v>
      </c>
      <c r="E138" s="206">
        <v>3</v>
      </c>
      <c r="F138" s="206">
        <v>3</v>
      </c>
      <c r="G138" s="206">
        <v>0</v>
      </c>
      <c r="H138" s="206">
        <v>0</v>
      </c>
      <c r="I138" s="185" t="str">
        <f t="shared" si="42"/>
        <v>完工</v>
      </c>
      <c r="J138" s="208">
        <v>3</v>
      </c>
      <c r="K138" s="209" t="str">
        <f t="shared" si="43"/>
        <v/>
      </c>
      <c r="L138" s="186"/>
      <c r="M138" s="210">
        <v>44440</v>
      </c>
      <c r="N138" s="210">
        <v>44499</v>
      </c>
      <c r="O138" s="181" t="s">
        <v>225</v>
      </c>
      <c r="P138" s="181" t="s">
        <v>42</v>
      </c>
      <c r="Q138" s="181"/>
      <c r="R138" s="186"/>
      <c r="S138" s="193">
        <f t="shared" si="39"/>
        <v>0</v>
      </c>
      <c r="T138" s="193" t="str">
        <f t="shared" si="44"/>
        <v/>
      </c>
      <c r="U138" s="175" t="str">
        <f t="shared" si="48"/>
        <v> </v>
      </c>
      <c r="V138" s="175" t="str">
        <f t="shared" si="37"/>
        <v/>
      </c>
      <c r="W138" s="175" t="str">
        <f t="shared" si="45"/>
        <v/>
      </c>
      <c r="X138" s="175" t="str">
        <f t="shared" si="46"/>
        <v/>
      </c>
      <c r="Y138" s="195" t="str">
        <f t="shared" si="36"/>
        <v/>
      </c>
      <c r="Z138" s="195" t="str">
        <f t="shared" si="40"/>
        <v/>
      </c>
      <c r="AA138" s="195" t="str">
        <f t="shared" si="41"/>
        <v/>
      </c>
      <c r="AC138" s="196" t="str">
        <f t="shared" si="47"/>
        <v/>
      </c>
    </row>
    <row r="139" hidden="1" spans="1:29">
      <c r="A139" s="181">
        <v>138</v>
      </c>
      <c r="B139" s="181" t="s">
        <v>304</v>
      </c>
      <c r="C139" s="181" t="s">
        <v>223</v>
      </c>
      <c r="D139" s="181" t="s">
        <v>305</v>
      </c>
      <c r="E139" s="206">
        <v>10</v>
      </c>
      <c r="F139" s="206">
        <v>10</v>
      </c>
      <c r="G139" s="206">
        <v>0</v>
      </c>
      <c r="H139" s="206">
        <v>0</v>
      </c>
      <c r="I139" s="185" t="str">
        <f t="shared" si="42"/>
        <v>完工</v>
      </c>
      <c r="J139" s="208">
        <v>10</v>
      </c>
      <c r="K139" s="209" t="str">
        <f t="shared" si="43"/>
        <v/>
      </c>
      <c r="L139" s="186"/>
      <c r="M139" s="210">
        <v>44440</v>
      </c>
      <c r="N139" s="210">
        <v>44499</v>
      </c>
      <c r="O139" s="181" t="s">
        <v>225</v>
      </c>
      <c r="P139" s="181" t="s">
        <v>42</v>
      </c>
      <c r="Q139" s="181"/>
      <c r="R139" s="186"/>
      <c r="S139" s="193">
        <f t="shared" si="39"/>
        <v>0</v>
      </c>
      <c r="T139" s="193" t="str">
        <f t="shared" si="44"/>
        <v/>
      </c>
      <c r="U139" s="175" t="str">
        <f t="shared" si="48"/>
        <v> </v>
      </c>
      <c r="V139" s="175" t="str">
        <f t="shared" si="37"/>
        <v/>
      </c>
      <c r="W139" s="175" t="str">
        <f t="shared" si="45"/>
        <v/>
      </c>
      <c r="X139" s="175" t="str">
        <f t="shared" si="46"/>
        <v/>
      </c>
      <c r="Y139" s="195" t="str">
        <f t="shared" si="36"/>
        <v/>
      </c>
      <c r="Z139" s="195" t="str">
        <f t="shared" si="40"/>
        <v/>
      </c>
      <c r="AA139" s="195" t="str">
        <f t="shared" si="41"/>
        <v/>
      </c>
      <c r="AC139" s="196" t="str">
        <f t="shared" si="47"/>
        <v/>
      </c>
    </row>
    <row r="140" hidden="1" spans="1:29">
      <c r="A140" s="181">
        <v>139</v>
      </c>
      <c r="B140" s="181" t="s">
        <v>306</v>
      </c>
      <c r="C140" s="181" t="s">
        <v>223</v>
      </c>
      <c r="D140" s="181" t="s">
        <v>307</v>
      </c>
      <c r="E140" s="206">
        <v>2.5</v>
      </c>
      <c r="F140" s="206">
        <v>2.5</v>
      </c>
      <c r="G140" s="206">
        <v>0</v>
      </c>
      <c r="H140" s="206">
        <v>0</v>
      </c>
      <c r="I140" s="185" t="str">
        <f t="shared" si="42"/>
        <v>完工</v>
      </c>
      <c r="J140" s="208">
        <v>2.5</v>
      </c>
      <c r="K140" s="209" t="str">
        <f t="shared" si="43"/>
        <v/>
      </c>
      <c r="L140" s="186"/>
      <c r="M140" s="210">
        <v>44440</v>
      </c>
      <c r="N140" s="210">
        <v>44499</v>
      </c>
      <c r="O140" s="181" t="s">
        <v>225</v>
      </c>
      <c r="P140" s="181" t="s">
        <v>42</v>
      </c>
      <c r="Q140" s="181"/>
      <c r="R140" s="186"/>
      <c r="S140" s="193">
        <f t="shared" si="39"/>
        <v>0</v>
      </c>
      <c r="T140" s="193" t="str">
        <f t="shared" si="44"/>
        <v/>
      </c>
      <c r="U140" s="175" t="str">
        <f t="shared" si="48"/>
        <v> </v>
      </c>
      <c r="V140" s="175" t="str">
        <f t="shared" si="37"/>
        <v/>
      </c>
      <c r="W140" s="175" t="str">
        <f t="shared" si="45"/>
        <v/>
      </c>
      <c r="X140" s="175" t="str">
        <f t="shared" si="46"/>
        <v/>
      </c>
      <c r="Y140" s="195" t="str">
        <f t="shared" si="36"/>
        <v/>
      </c>
      <c r="Z140" s="195" t="str">
        <f t="shared" si="40"/>
        <v/>
      </c>
      <c r="AA140" s="195" t="str">
        <f t="shared" si="41"/>
        <v/>
      </c>
      <c r="AC140" s="196" t="str">
        <f t="shared" si="47"/>
        <v/>
      </c>
    </row>
    <row r="141" hidden="1" spans="1:29">
      <c r="A141" s="181">
        <v>140</v>
      </c>
      <c r="B141" s="181" t="s">
        <v>308</v>
      </c>
      <c r="C141" s="181" t="s">
        <v>223</v>
      </c>
      <c r="D141" s="181" t="s">
        <v>309</v>
      </c>
      <c r="E141" s="206">
        <v>1</v>
      </c>
      <c r="F141" s="206">
        <v>1</v>
      </c>
      <c r="G141" s="206">
        <v>0</v>
      </c>
      <c r="H141" s="206">
        <v>0</v>
      </c>
      <c r="I141" s="185" t="str">
        <f t="shared" si="42"/>
        <v>完工</v>
      </c>
      <c r="J141" s="208">
        <v>1</v>
      </c>
      <c r="K141" s="209" t="str">
        <f t="shared" si="43"/>
        <v/>
      </c>
      <c r="L141" s="186"/>
      <c r="M141" s="210">
        <v>44440</v>
      </c>
      <c r="N141" s="210">
        <v>44499</v>
      </c>
      <c r="O141" s="181" t="s">
        <v>225</v>
      </c>
      <c r="P141" s="181" t="s">
        <v>42</v>
      </c>
      <c r="Q141" s="181"/>
      <c r="R141" s="186"/>
      <c r="S141" s="193">
        <f t="shared" si="39"/>
        <v>0</v>
      </c>
      <c r="T141" s="193" t="str">
        <f t="shared" si="44"/>
        <v/>
      </c>
      <c r="U141" s="175" t="str">
        <f t="shared" si="48"/>
        <v> </v>
      </c>
      <c r="V141" s="175" t="str">
        <f t="shared" si="37"/>
        <v/>
      </c>
      <c r="W141" s="175" t="str">
        <f t="shared" si="45"/>
        <v/>
      </c>
      <c r="X141" s="175" t="str">
        <f t="shared" si="46"/>
        <v/>
      </c>
      <c r="Y141" s="195" t="str">
        <f t="shared" si="36"/>
        <v/>
      </c>
      <c r="Z141" s="195" t="str">
        <f t="shared" si="40"/>
        <v/>
      </c>
      <c r="AA141" s="195" t="str">
        <f t="shared" si="41"/>
        <v/>
      </c>
      <c r="AC141" s="196" t="str">
        <f t="shared" si="47"/>
        <v/>
      </c>
    </row>
    <row r="142" hidden="1" spans="1:29">
      <c r="A142" s="181">
        <v>141</v>
      </c>
      <c r="B142" s="181" t="s">
        <v>310</v>
      </c>
      <c r="C142" s="181" t="s">
        <v>223</v>
      </c>
      <c r="D142" s="181" t="s">
        <v>291</v>
      </c>
      <c r="E142" s="206">
        <v>0.08</v>
      </c>
      <c r="F142" s="206">
        <v>0.08</v>
      </c>
      <c r="G142" s="206">
        <v>0</v>
      </c>
      <c r="H142" s="206">
        <v>0</v>
      </c>
      <c r="I142" s="185" t="str">
        <f t="shared" si="42"/>
        <v>完工</v>
      </c>
      <c r="J142" s="208">
        <v>0.08</v>
      </c>
      <c r="K142" s="209" t="str">
        <f t="shared" si="43"/>
        <v/>
      </c>
      <c r="L142" s="186"/>
      <c r="M142" s="210">
        <v>44440</v>
      </c>
      <c r="N142" s="210">
        <v>44499</v>
      </c>
      <c r="O142" s="181" t="s">
        <v>225</v>
      </c>
      <c r="P142" s="181" t="s">
        <v>42</v>
      </c>
      <c r="Q142" s="181"/>
      <c r="R142" s="186"/>
      <c r="S142" s="193">
        <f t="shared" si="39"/>
        <v>0</v>
      </c>
      <c r="T142" s="193" t="str">
        <f t="shared" si="44"/>
        <v/>
      </c>
      <c r="U142" s="175" t="str">
        <f t="shared" si="48"/>
        <v> </v>
      </c>
      <c r="V142" s="175" t="str">
        <f t="shared" si="37"/>
        <v/>
      </c>
      <c r="W142" s="175" t="str">
        <f t="shared" si="45"/>
        <v/>
      </c>
      <c r="X142" s="175" t="str">
        <f t="shared" si="46"/>
        <v/>
      </c>
      <c r="Y142" s="195" t="str">
        <f t="shared" si="36"/>
        <v/>
      </c>
      <c r="Z142" s="195" t="str">
        <f t="shared" si="40"/>
        <v/>
      </c>
      <c r="AA142" s="195" t="str">
        <f t="shared" si="41"/>
        <v/>
      </c>
      <c r="AC142" s="196" t="str">
        <f t="shared" si="47"/>
        <v/>
      </c>
    </row>
    <row r="143" hidden="1" spans="1:29">
      <c r="A143" s="181">
        <v>142</v>
      </c>
      <c r="B143" s="181" t="s">
        <v>311</v>
      </c>
      <c r="C143" s="181" t="s">
        <v>223</v>
      </c>
      <c r="D143" s="181" t="s">
        <v>287</v>
      </c>
      <c r="E143" s="206">
        <v>0.4</v>
      </c>
      <c r="F143" s="206">
        <v>0.4</v>
      </c>
      <c r="G143" s="206">
        <v>0</v>
      </c>
      <c r="H143" s="206">
        <v>0</v>
      </c>
      <c r="I143" s="185" t="str">
        <f t="shared" si="42"/>
        <v>完工</v>
      </c>
      <c r="J143" s="208">
        <v>0.4</v>
      </c>
      <c r="K143" s="209" t="str">
        <f t="shared" si="43"/>
        <v/>
      </c>
      <c r="L143" s="186"/>
      <c r="M143" s="210">
        <v>44440</v>
      </c>
      <c r="N143" s="210">
        <v>44499</v>
      </c>
      <c r="O143" s="181" t="s">
        <v>225</v>
      </c>
      <c r="P143" s="181" t="s">
        <v>42</v>
      </c>
      <c r="Q143" s="181"/>
      <c r="R143" s="186"/>
      <c r="S143" s="193">
        <f t="shared" si="39"/>
        <v>0</v>
      </c>
      <c r="T143" s="193" t="str">
        <f t="shared" si="44"/>
        <v/>
      </c>
      <c r="U143" s="175" t="str">
        <f t="shared" si="48"/>
        <v> </v>
      </c>
      <c r="V143" s="175" t="str">
        <f t="shared" si="37"/>
        <v/>
      </c>
      <c r="W143" s="175" t="str">
        <f t="shared" si="45"/>
        <v/>
      </c>
      <c r="X143" s="175" t="str">
        <f t="shared" si="46"/>
        <v/>
      </c>
      <c r="Y143" s="195" t="str">
        <f t="shared" ref="Y143:Y206" si="49">IF(I143="完工","",ROUND(X143/W143,3))</f>
        <v/>
      </c>
      <c r="Z143" s="195" t="str">
        <f t="shared" si="40"/>
        <v/>
      </c>
      <c r="AA143" s="195" t="str">
        <f t="shared" si="41"/>
        <v/>
      </c>
      <c r="AC143" s="196" t="str">
        <f t="shared" si="47"/>
        <v/>
      </c>
    </row>
    <row r="144" hidden="1" spans="1:29">
      <c r="A144" s="181">
        <v>143</v>
      </c>
      <c r="B144" s="181" t="s">
        <v>312</v>
      </c>
      <c r="C144" s="181" t="s">
        <v>223</v>
      </c>
      <c r="D144" s="181" t="s">
        <v>313</v>
      </c>
      <c r="E144" s="206">
        <v>3</v>
      </c>
      <c r="F144" s="206">
        <v>3</v>
      </c>
      <c r="G144" s="206">
        <v>0</v>
      </c>
      <c r="H144" s="206">
        <v>0</v>
      </c>
      <c r="I144" s="185" t="str">
        <f t="shared" si="42"/>
        <v>完工</v>
      </c>
      <c r="J144" s="208">
        <v>3</v>
      </c>
      <c r="K144" s="209" t="str">
        <f t="shared" si="43"/>
        <v/>
      </c>
      <c r="L144" s="186"/>
      <c r="M144" s="210">
        <v>44440</v>
      </c>
      <c r="N144" s="210">
        <v>44499</v>
      </c>
      <c r="O144" s="181" t="s">
        <v>225</v>
      </c>
      <c r="P144" s="181" t="s">
        <v>42</v>
      </c>
      <c r="Q144" s="181"/>
      <c r="R144" s="186"/>
      <c r="S144" s="193">
        <f t="shared" si="39"/>
        <v>0</v>
      </c>
      <c r="T144" s="193" t="str">
        <f t="shared" si="44"/>
        <v/>
      </c>
      <c r="U144" s="175" t="str">
        <f t="shared" si="48"/>
        <v> </v>
      </c>
      <c r="V144" s="175" t="str">
        <f t="shared" si="37"/>
        <v/>
      </c>
      <c r="W144" s="175" t="str">
        <f t="shared" si="45"/>
        <v/>
      </c>
      <c r="X144" s="175" t="str">
        <f t="shared" si="46"/>
        <v/>
      </c>
      <c r="Y144" s="195" t="str">
        <f t="shared" si="49"/>
        <v/>
      </c>
      <c r="Z144" s="195" t="str">
        <f t="shared" si="40"/>
        <v/>
      </c>
      <c r="AA144" s="195" t="str">
        <f t="shared" si="41"/>
        <v/>
      </c>
      <c r="AC144" s="196" t="str">
        <f t="shared" si="47"/>
        <v/>
      </c>
    </row>
    <row r="145" hidden="1" spans="1:29">
      <c r="A145" s="181">
        <v>144</v>
      </c>
      <c r="B145" s="181" t="s">
        <v>314</v>
      </c>
      <c r="C145" s="181" t="s">
        <v>223</v>
      </c>
      <c r="D145" s="181" t="s">
        <v>305</v>
      </c>
      <c r="E145" s="206">
        <v>5</v>
      </c>
      <c r="F145" s="206">
        <v>5</v>
      </c>
      <c r="G145" s="206">
        <v>0</v>
      </c>
      <c r="H145" s="206">
        <v>0</v>
      </c>
      <c r="I145" s="185" t="str">
        <f t="shared" si="42"/>
        <v>完工</v>
      </c>
      <c r="J145" s="208">
        <v>5</v>
      </c>
      <c r="K145" s="209" t="str">
        <f t="shared" si="43"/>
        <v/>
      </c>
      <c r="L145" s="186"/>
      <c r="M145" s="210">
        <v>44440</v>
      </c>
      <c r="N145" s="210">
        <v>44499</v>
      </c>
      <c r="O145" s="181" t="s">
        <v>225</v>
      </c>
      <c r="P145" s="181" t="s">
        <v>42</v>
      </c>
      <c r="Q145" s="181"/>
      <c r="R145" s="186"/>
      <c r="S145" s="193">
        <f t="shared" si="39"/>
        <v>0</v>
      </c>
      <c r="T145" s="193" t="str">
        <f t="shared" si="44"/>
        <v/>
      </c>
      <c r="U145" s="175" t="str">
        <f t="shared" si="48"/>
        <v> </v>
      </c>
      <c r="V145" s="175" t="str">
        <f t="shared" si="37"/>
        <v/>
      </c>
      <c r="W145" s="175" t="str">
        <f t="shared" si="45"/>
        <v/>
      </c>
      <c r="X145" s="175" t="str">
        <f t="shared" si="46"/>
        <v/>
      </c>
      <c r="Y145" s="195" t="str">
        <f t="shared" si="49"/>
        <v/>
      </c>
      <c r="Z145" s="195" t="str">
        <f t="shared" si="40"/>
        <v/>
      </c>
      <c r="AA145" s="195" t="str">
        <f t="shared" si="41"/>
        <v/>
      </c>
      <c r="AC145" s="196" t="str">
        <f t="shared" si="47"/>
        <v/>
      </c>
    </row>
    <row r="146" hidden="1" spans="1:29">
      <c r="A146" s="181">
        <v>145</v>
      </c>
      <c r="B146" s="181" t="s">
        <v>315</v>
      </c>
      <c r="C146" s="181" t="s">
        <v>223</v>
      </c>
      <c r="D146" s="181" t="s">
        <v>316</v>
      </c>
      <c r="E146" s="206">
        <v>86.32</v>
      </c>
      <c r="F146" s="206">
        <v>86.32</v>
      </c>
      <c r="G146" s="206">
        <v>0</v>
      </c>
      <c r="H146" s="206">
        <v>0</v>
      </c>
      <c r="I146" s="185" t="str">
        <f t="shared" si="42"/>
        <v>完工</v>
      </c>
      <c r="J146" s="208">
        <v>86.32</v>
      </c>
      <c r="K146" s="209" t="str">
        <f t="shared" si="43"/>
        <v/>
      </c>
      <c r="L146" s="186"/>
      <c r="M146" s="210">
        <v>44440</v>
      </c>
      <c r="N146" s="210">
        <v>44499</v>
      </c>
      <c r="O146" s="181" t="s">
        <v>225</v>
      </c>
      <c r="P146" s="181" t="s">
        <v>42</v>
      </c>
      <c r="Q146" s="181"/>
      <c r="R146" s="186"/>
      <c r="S146" s="193">
        <f t="shared" si="39"/>
        <v>0</v>
      </c>
      <c r="T146" s="193" t="str">
        <f t="shared" si="44"/>
        <v/>
      </c>
      <c r="U146" s="175" t="str">
        <f t="shared" si="48"/>
        <v> </v>
      </c>
      <c r="V146" s="175" t="str">
        <f t="shared" si="37"/>
        <v/>
      </c>
      <c r="W146" s="175" t="str">
        <f t="shared" si="45"/>
        <v/>
      </c>
      <c r="X146" s="175" t="str">
        <f t="shared" si="46"/>
        <v/>
      </c>
      <c r="Y146" s="195" t="str">
        <f t="shared" si="49"/>
        <v/>
      </c>
      <c r="Z146" s="195" t="str">
        <f t="shared" si="40"/>
        <v/>
      </c>
      <c r="AA146" s="195" t="str">
        <f t="shared" si="41"/>
        <v/>
      </c>
      <c r="AC146" s="196" t="str">
        <f t="shared" si="47"/>
        <v/>
      </c>
    </row>
    <row r="147" hidden="1" spans="1:29">
      <c r="A147" s="181">
        <v>146</v>
      </c>
      <c r="B147" s="181" t="s">
        <v>317</v>
      </c>
      <c r="C147" s="181" t="s">
        <v>223</v>
      </c>
      <c r="D147" s="181" t="s">
        <v>318</v>
      </c>
      <c r="E147" s="206">
        <v>50</v>
      </c>
      <c r="F147" s="206">
        <v>50</v>
      </c>
      <c r="G147" s="206">
        <v>0</v>
      </c>
      <c r="H147" s="206">
        <v>0</v>
      </c>
      <c r="I147" s="185" t="str">
        <f t="shared" si="42"/>
        <v>完工</v>
      </c>
      <c r="J147" s="208">
        <v>50</v>
      </c>
      <c r="K147" s="209" t="str">
        <f t="shared" si="43"/>
        <v/>
      </c>
      <c r="L147" s="186"/>
      <c r="M147" s="210">
        <v>44440</v>
      </c>
      <c r="N147" s="210">
        <v>44499</v>
      </c>
      <c r="O147" s="181" t="s">
        <v>225</v>
      </c>
      <c r="P147" s="181" t="s">
        <v>42</v>
      </c>
      <c r="Q147" s="181"/>
      <c r="R147" s="186"/>
      <c r="S147" s="193">
        <f t="shared" si="39"/>
        <v>0</v>
      </c>
      <c r="T147" s="193" t="str">
        <f t="shared" si="44"/>
        <v/>
      </c>
      <c r="U147" s="175" t="str">
        <f t="shared" si="48"/>
        <v> </v>
      </c>
      <c r="V147" s="175" t="str">
        <f t="shared" si="37"/>
        <v/>
      </c>
      <c r="W147" s="175" t="str">
        <f t="shared" si="45"/>
        <v/>
      </c>
      <c r="X147" s="175" t="str">
        <f t="shared" si="46"/>
        <v/>
      </c>
      <c r="Y147" s="195" t="str">
        <f t="shared" si="49"/>
        <v/>
      </c>
      <c r="Z147" s="195" t="str">
        <f t="shared" si="40"/>
        <v/>
      </c>
      <c r="AA147" s="195" t="str">
        <f t="shared" si="41"/>
        <v/>
      </c>
      <c r="AC147" s="196" t="str">
        <f t="shared" si="47"/>
        <v/>
      </c>
    </row>
    <row r="148" hidden="1" spans="1:29">
      <c r="A148" s="181">
        <v>147</v>
      </c>
      <c r="B148" s="181" t="s">
        <v>319</v>
      </c>
      <c r="C148" s="181" t="s">
        <v>223</v>
      </c>
      <c r="D148" s="181" t="s">
        <v>320</v>
      </c>
      <c r="E148" s="206">
        <v>46</v>
      </c>
      <c r="F148" s="206">
        <v>46</v>
      </c>
      <c r="G148" s="206">
        <v>0</v>
      </c>
      <c r="H148" s="206">
        <v>0</v>
      </c>
      <c r="I148" s="185" t="str">
        <f t="shared" si="42"/>
        <v>完工</v>
      </c>
      <c r="J148" s="208">
        <v>46</v>
      </c>
      <c r="K148" s="209" t="str">
        <f t="shared" si="43"/>
        <v/>
      </c>
      <c r="L148" s="186"/>
      <c r="M148" s="210">
        <v>44440</v>
      </c>
      <c r="N148" s="210">
        <v>44499</v>
      </c>
      <c r="O148" s="181" t="s">
        <v>225</v>
      </c>
      <c r="P148" s="181" t="s">
        <v>42</v>
      </c>
      <c r="Q148" s="181"/>
      <c r="R148" s="186"/>
      <c r="S148" s="193">
        <f t="shared" si="39"/>
        <v>0</v>
      </c>
      <c r="T148" s="193" t="str">
        <f t="shared" si="44"/>
        <v/>
      </c>
      <c r="U148" s="175" t="str">
        <f t="shared" si="48"/>
        <v> </v>
      </c>
      <c r="V148" s="175" t="str">
        <f t="shared" ref="V148:V194" si="50">IF(I148="完工","",12)</f>
        <v/>
      </c>
      <c r="W148" s="175" t="str">
        <f t="shared" si="45"/>
        <v/>
      </c>
      <c r="X148" s="175" t="str">
        <f t="shared" si="46"/>
        <v/>
      </c>
      <c r="Y148" s="195" t="str">
        <f t="shared" si="49"/>
        <v/>
      </c>
      <c r="Z148" s="195" t="str">
        <f t="shared" si="40"/>
        <v/>
      </c>
      <c r="AA148" s="195" t="str">
        <f t="shared" si="41"/>
        <v/>
      </c>
      <c r="AC148" s="196" t="str">
        <f t="shared" si="47"/>
        <v/>
      </c>
    </row>
    <row r="149" hidden="1" spans="1:29">
      <c r="A149" s="181">
        <v>148</v>
      </c>
      <c r="B149" s="181" t="s">
        <v>321</v>
      </c>
      <c r="C149" s="181" t="s">
        <v>223</v>
      </c>
      <c r="D149" s="181" t="s">
        <v>322</v>
      </c>
      <c r="E149" s="206">
        <v>1.5</v>
      </c>
      <c r="F149" s="206">
        <v>1.5</v>
      </c>
      <c r="G149" s="206">
        <v>0</v>
      </c>
      <c r="H149" s="206">
        <v>0</v>
      </c>
      <c r="I149" s="185" t="str">
        <f t="shared" si="42"/>
        <v>完工</v>
      </c>
      <c r="J149" s="208">
        <v>1.5</v>
      </c>
      <c r="K149" s="209" t="str">
        <f t="shared" si="43"/>
        <v/>
      </c>
      <c r="L149" s="186"/>
      <c r="M149" s="210">
        <v>44501</v>
      </c>
      <c r="N149" s="210">
        <v>44560</v>
      </c>
      <c r="O149" s="181" t="s">
        <v>225</v>
      </c>
      <c r="P149" s="181" t="s">
        <v>42</v>
      </c>
      <c r="Q149" s="181"/>
      <c r="R149" s="186"/>
      <c r="S149" s="193">
        <f t="shared" si="39"/>
        <v>0</v>
      </c>
      <c r="T149" s="193" t="str">
        <f t="shared" si="44"/>
        <v/>
      </c>
      <c r="U149" s="175" t="str">
        <f t="shared" si="48"/>
        <v> </v>
      </c>
      <c r="V149" s="175" t="str">
        <f t="shared" si="50"/>
        <v/>
      </c>
      <c r="W149" s="175" t="str">
        <f t="shared" si="45"/>
        <v/>
      </c>
      <c r="X149" s="175" t="str">
        <f t="shared" si="46"/>
        <v/>
      </c>
      <c r="Y149" s="195" t="str">
        <f t="shared" si="49"/>
        <v/>
      </c>
      <c r="Z149" s="195" t="str">
        <f t="shared" si="40"/>
        <v/>
      </c>
      <c r="AA149" s="195" t="str">
        <f t="shared" si="41"/>
        <v/>
      </c>
      <c r="AC149" s="196" t="str">
        <f t="shared" si="47"/>
        <v/>
      </c>
    </row>
    <row r="150" hidden="1" spans="1:29">
      <c r="A150" s="181">
        <v>149</v>
      </c>
      <c r="B150" s="181" t="s">
        <v>323</v>
      </c>
      <c r="C150" s="181" t="s">
        <v>223</v>
      </c>
      <c r="D150" s="181" t="s">
        <v>324</v>
      </c>
      <c r="E150" s="206">
        <v>5</v>
      </c>
      <c r="F150" s="206">
        <v>5</v>
      </c>
      <c r="G150" s="206">
        <v>0</v>
      </c>
      <c r="H150" s="206">
        <v>0</v>
      </c>
      <c r="I150" s="185" t="str">
        <f t="shared" si="42"/>
        <v>完工</v>
      </c>
      <c r="J150" s="208">
        <v>5</v>
      </c>
      <c r="K150" s="209" t="str">
        <f t="shared" si="43"/>
        <v/>
      </c>
      <c r="L150" s="186"/>
      <c r="M150" s="210">
        <v>44440</v>
      </c>
      <c r="N150" s="210">
        <v>44499</v>
      </c>
      <c r="O150" s="181" t="s">
        <v>225</v>
      </c>
      <c r="P150" s="181" t="s">
        <v>42</v>
      </c>
      <c r="Q150" s="181"/>
      <c r="R150" s="186"/>
      <c r="S150" s="193">
        <f t="shared" si="39"/>
        <v>0</v>
      </c>
      <c r="T150" s="193" t="str">
        <f t="shared" si="44"/>
        <v/>
      </c>
      <c r="U150" s="175" t="str">
        <f t="shared" si="48"/>
        <v> </v>
      </c>
      <c r="V150" s="175" t="str">
        <f t="shared" si="50"/>
        <v/>
      </c>
      <c r="W150" s="175" t="str">
        <f t="shared" si="45"/>
        <v/>
      </c>
      <c r="X150" s="175" t="str">
        <f t="shared" si="46"/>
        <v/>
      </c>
      <c r="Y150" s="195" t="str">
        <f t="shared" si="49"/>
        <v/>
      </c>
      <c r="Z150" s="195" t="str">
        <f t="shared" si="40"/>
        <v/>
      </c>
      <c r="AA150" s="195" t="str">
        <f t="shared" si="41"/>
        <v/>
      </c>
      <c r="AC150" s="196" t="str">
        <f t="shared" si="47"/>
        <v/>
      </c>
    </row>
    <row r="151" hidden="1" spans="1:29">
      <c r="A151" s="181">
        <v>150</v>
      </c>
      <c r="B151" s="181" t="s">
        <v>325</v>
      </c>
      <c r="C151" s="181" t="s">
        <v>223</v>
      </c>
      <c r="D151" s="181" t="s">
        <v>326</v>
      </c>
      <c r="E151" s="206">
        <v>3.5</v>
      </c>
      <c r="F151" s="206">
        <v>3.5</v>
      </c>
      <c r="G151" s="206">
        <v>0</v>
      </c>
      <c r="H151" s="206">
        <v>0</v>
      </c>
      <c r="I151" s="185" t="str">
        <f t="shared" si="42"/>
        <v>完工</v>
      </c>
      <c r="J151" s="208">
        <v>3.5</v>
      </c>
      <c r="K151" s="209" t="str">
        <f t="shared" si="43"/>
        <v/>
      </c>
      <c r="L151" s="186"/>
      <c r="M151" s="210">
        <v>44440</v>
      </c>
      <c r="N151" s="210">
        <v>44499</v>
      </c>
      <c r="O151" s="181" t="s">
        <v>225</v>
      </c>
      <c r="P151" s="181" t="s">
        <v>42</v>
      </c>
      <c r="Q151" s="181"/>
      <c r="R151" s="186"/>
      <c r="S151" s="193">
        <f t="shared" si="39"/>
        <v>0</v>
      </c>
      <c r="T151" s="193" t="str">
        <f t="shared" si="44"/>
        <v/>
      </c>
      <c r="U151" s="175" t="str">
        <f t="shared" si="48"/>
        <v> </v>
      </c>
      <c r="V151" s="175" t="str">
        <f t="shared" si="50"/>
        <v/>
      </c>
      <c r="W151" s="175" t="str">
        <f t="shared" si="45"/>
        <v/>
      </c>
      <c r="X151" s="175" t="str">
        <f t="shared" si="46"/>
        <v/>
      </c>
      <c r="Y151" s="195" t="str">
        <f t="shared" si="49"/>
        <v/>
      </c>
      <c r="Z151" s="195" t="str">
        <f t="shared" si="40"/>
        <v/>
      </c>
      <c r="AA151" s="195" t="str">
        <f t="shared" si="41"/>
        <v/>
      </c>
      <c r="AC151" s="196" t="str">
        <f t="shared" si="47"/>
        <v/>
      </c>
    </row>
    <row r="152" hidden="1" spans="1:29">
      <c r="A152" s="181">
        <v>151</v>
      </c>
      <c r="B152" s="181" t="s">
        <v>327</v>
      </c>
      <c r="C152" s="181" t="s">
        <v>223</v>
      </c>
      <c r="D152" s="181" t="s">
        <v>324</v>
      </c>
      <c r="E152" s="206">
        <v>5</v>
      </c>
      <c r="F152" s="206">
        <v>5</v>
      </c>
      <c r="G152" s="206">
        <v>0</v>
      </c>
      <c r="H152" s="206">
        <v>0</v>
      </c>
      <c r="I152" s="185" t="str">
        <f t="shared" si="42"/>
        <v>完工</v>
      </c>
      <c r="J152" s="208">
        <v>5</v>
      </c>
      <c r="K152" s="209" t="str">
        <f t="shared" si="43"/>
        <v/>
      </c>
      <c r="L152" s="186"/>
      <c r="M152" s="210">
        <v>44440</v>
      </c>
      <c r="N152" s="210">
        <v>44499</v>
      </c>
      <c r="O152" s="181" t="s">
        <v>225</v>
      </c>
      <c r="P152" s="181" t="s">
        <v>42</v>
      </c>
      <c r="Q152" s="181"/>
      <c r="R152" s="186"/>
      <c r="S152" s="193">
        <f t="shared" si="39"/>
        <v>0</v>
      </c>
      <c r="T152" s="193" t="str">
        <f t="shared" si="44"/>
        <v/>
      </c>
      <c r="U152" s="175" t="str">
        <f t="shared" si="48"/>
        <v> </v>
      </c>
      <c r="V152" s="175" t="str">
        <f t="shared" si="50"/>
        <v/>
      </c>
      <c r="W152" s="175" t="str">
        <f t="shared" si="45"/>
        <v/>
      </c>
      <c r="X152" s="175" t="str">
        <f t="shared" si="46"/>
        <v/>
      </c>
      <c r="Y152" s="195" t="str">
        <f t="shared" si="49"/>
        <v/>
      </c>
      <c r="Z152" s="195" t="str">
        <f t="shared" si="40"/>
        <v/>
      </c>
      <c r="AA152" s="195" t="str">
        <f t="shared" si="41"/>
        <v/>
      </c>
      <c r="AC152" s="196" t="str">
        <f t="shared" si="47"/>
        <v/>
      </c>
    </row>
    <row r="153" hidden="1" spans="1:29">
      <c r="A153" s="181">
        <v>152</v>
      </c>
      <c r="B153" s="181" t="s">
        <v>328</v>
      </c>
      <c r="C153" s="181" t="s">
        <v>223</v>
      </c>
      <c r="D153" s="181" t="s">
        <v>329</v>
      </c>
      <c r="E153" s="206">
        <v>0.3</v>
      </c>
      <c r="F153" s="206">
        <v>0.3</v>
      </c>
      <c r="G153" s="206">
        <v>0</v>
      </c>
      <c r="H153" s="206">
        <v>0</v>
      </c>
      <c r="I153" s="185" t="str">
        <f t="shared" si="42"/>
        <v>完工</v>
      </c>
      <c r="J153" s="208">
        <v>0.3</v>
      </c>
      <c r="K153" s="209" t="str">
        <f t="shared" si="43"/>
        <v/>
      </c>
      <c r="L153" s="186"/>
      <c r="M153" s="210">
        <v>44440</v>
      </c>
      <c r="N153" s="210">
        <v>44499</v>
      </c>
      <c r="O153" s="181" t="s">
        <v>225</v>
      </c>
      <c r="P153" s="181" t="s">
        <v>42</v>
      </c>
      <c r="Q153" s="181"/>
      <c r="R153" s="186"/>
      <c r="S153" s="193">
        <f t="shared" si="39"/>
        <v>0</v>
      </c>
      <c r="T153" s="193" t="str">
        <f t="shared" si="44"/>
        <v/>
      </c>
      <c r="U153" s="175" t="str">
        <f t="shared" si="48"/>
        <v> </v>
      </c>
      <c r="V153" s="175" t="str">
        <f t="shared" si="50"/>
        <v/>
      </c>
      <c r="W153" s="175" t="str">
        <f t="shared" si="45"/>
        <v/>
      </c>
      <c r="X153" s="175" t="str">
        <f t="shared" si="46"/>
        <v/>
      </c>
      <c r="Y153" s="195" t="str">
        <f t="shared" si="49"/>
        <v/>
      </c>
      <c r="Z153" s="195" t="str">
        <f t="shared" si="40"/>
        <v/>
      </c>
      <c r="AA153" s="195" t="str">
        <f t="shared" si="41"/>
        <v/>
      </c>
      <c r="AC153" s="196" t="str">
        <f t="shared" si="47"/>
        <v/>
      </c>
    </row>
    <row r="154" hidden="1" spans="1:29">
      <c r="A154" s="181">
        <v>153</v>
      </c>
      <c r="B154" s="181" t="s">
        <v>330</v>
      </c>
      <c r="C154" s="181" t="s">
        <v>223</v>
      </c>
      <c r="D154" s="181" t="s">
        <v>329</v>
      </c>
      <c r="E154" s="206">
        <v>1</v>
      </c>
      <c r="F154" s="206">
        <v>1</v>
      </c>
      <c r="G154" s="206">
        <v>0</v>
      </c>
      <c r="H154" s="206">
        <v>0</v>
      </c>
      <c r="I154" s="185" t="str">
        <f t="shared" si="42"/>
        <v>完工</v>
      </c>
      <c r="J154" s="208">
        <v>1</v>
      </c>
      <c r="K154" s="209" t="str">
        <f t="shared" si="43"/>
        <v/>
      </c>
      <c r="L154" s="186"/>
      <c r="M154" s="210">
        <v>44501</v>
      </c>
      <c r="N154" s="210">
        <v>44560</v>
      </c>
      <c r="O154" s="181" t="s">
        <v>225</v>
      </c>
      <c r="P154" s="181" t="s">
        <v>42</v>
      </c>
      <c r="Q154" s="181"/>
      <c r="R154" s="186"/>
      <c r="S154" s="193">
        <f t="shared" si="39"/>
        <v>0</v>
      </c>
      <c r="T154" s="193" t="str">
        <f t="shared" si="44"/>
        <v/>
      </c>
      <c r="U154" s="175" t="str">
        <f t="shared" si="48"/>
        <v> </v>
      </c>
      <c r="V154" s="175" t="str">
        <f t="shared" si="50"/>
        <v/>
      </c>
      <c r="W154" s="175" t="str">
        <f t="shared" si="45"/>
        <v/>
      </c>
      <c r="X154" s="175" t="str">
        <f t="shared" si="46"/>
        <v/>
      </c>
      <c r="Y154" s="195" t="str">
        <f t="shared" si="49"/>
        <v/>
      </c>
      <c r="Z154" s="195" t="str">
        <f t="shared" si="40"/>
        <v/>
      </c>
      <c r="AA154" s="195" t="str">
        <f t="shared" si="41"/>
        <v/>
      </c>
      <c r="AC154" s="196" t="str">
        <f t="shared" si="47"/>
        <v/>
      </c>
    </row>
    <row r="155" hidden="1" spans="1:29">
      <c r="A155" s="181">
        <v>154</v>
      </c>
      <c r="B155" s="181" t="s">
        <v>331</v>
      </c>
      <c r="C155" s="181" t="s">
        <v>223</v>
      </c>
      <c r="D155" s="181" t="s">
        <v>332</v>
      </c>
      <c r="E155" s="206">
        <v>58</v>
      </c>
      <c r="F155" s="206">
        <v>58</v>
      </c>
      <c r="G155" s="206">
        <v>0</v>
      </c>
      <c r="H155" s="206">
        <v>0</v>
      </c>
      <c r="I155" s="185" t="str">
        <f t="shared" si="42"/>
        <v>完工</v>
      </c>
      <c r="J155" s="208">
        <v>58</v>
      </c>
      <c r="K155" s="209" t="str">
        <f t="shared" si="43"/>
        <v/>
      </c>
      <c r="L155" s="186"/>
      <c r="M155" s="210">
        <v>44501</v>
      </c>
      <c r="N155" s="210">
        <v>44560</v>
      </c>
      <c r="O155" s="181" t="s">
        <v>225</v>
      </c>
      <c r="P155" s="181" t="s">
        <v>42</v>
      </c>
      <c r="Q155" s="181"/>
      <c r="R155" s="186"/>
      <c r="S155" s="193">
        <f t="shared" si="39"/>
        <v>0</v>
      </c>
      <c r="T155" s="193" t="str">
        <f t="shared" si="44"/>
        <v/>
      </c>
      <c r="U155" s="175" t="str">
        <f t="shared" si="48"/>
        <v> </v>
      </c>
      <c r="V155" s="175" t="str">
        <f t="shared" si="50"/>
        <v/>
      </c>
      <c r="W155" s="175" t="str">
        <f t="shared" si="45"/>
        <v/>
      </c>
      <c r="X155" s="175" t="str">
        <f t="shared" si="46"/>
        <v/>
      </c>
      <c r="Y155" s="195" t="str">
        <f t="shared" si="49"/>
        <v/>
      </c>
      <c r="Z155" s="195" t="str">
        <f t="shared" si="40"/>
        <v/>
      </c>
      <c r="AA155" s="195" t="str">
        <f t="shared" si="41"/>
        <v/>
      </c>
      <c r="AC155" s="196" t="str">
        <f t="shared" si="47"/>
        <v/>
      </c>
    </row>
    <row r="156" hidden="1" spans="1:29">
      <c r="A156" s="181">
        <v>155</v>
      </c>
      <c r="B156" s="181" t="s">
        <v>333</v>
      </c>
      <c r="C156" s="181" t="s">
        <v>223</v>
      </c>
      <c r="D156" s="181" t="s">
        <v>334</v>
      </c>
      <c r="E156" s="206">
        <v>15</v>
      </c>
      <c r="F156" s="206">
        <v>15</v>
      </c>
      <c r="G156" s="206">
        <v>0</v>
      </c>
      <c r="H156" s="206">
        <v>0</v>
      </c>
      <c r="I156" s="185" t="str">
        <f t="shared" si="42"/>
        <v>完工</v>
      </c>
      <c r="J156" s="208">
        <v>15</v>
      </c>
      <c r="K156" s="209" t="str">
        <f t="shared" si="43"/>
        <v/>
      </c>
      <c r="L156" s="186"/>
      <c r="M156" s="210">
        <v>44470</v>
      </c>
      <c r="N156" s="210">
        <v>44560</v>
      </c>
      <c r="O156" s="181" t="s">
        <v>225</v>
      </c>
      <c r="P156" s="181" t="s">
        <v>42</v>
      </c>
      <c r="Q156" s="181"/>
      <c r="R156" s="186"/>
      <c r="S156" s="193">
        <f t="shared" si="39"/>
        <v>0</v>
      </c>
      <c r="T156" s="193" t="str">
        <f t="shared" si="44"/>
        <v/>
      </c>
      <c r="U156" s="175" t="str">
        <f t="shared" si="48"/>
        <v> </v>
      </c>
      <c r="V156" s="175" t="str">
        <f t="shared" si="50"/>
        <v/>
      </c>
      <c r="W156" s="175" t="str">
        <f t="shared" si="45"/>
        <v/>
      </c>
      <c r="X156" s="175" t="str">
        <f t="shared" si="46"/>
        <v/>
      </c>
      <c r="Y156" s="195" t="str">
        <f t="shared" si="49"/>
        <v/>
      </c>
      <c r="Z156" s="195" t="str">
        <f t="shared" si="40"/>
        <v/>
      </c>
      <c r="AA156" s="195" t="str">
        <f t="shared" si="41"/>
        <v/>
      </c>
      <c r="AC156" s="196" t="str">
        <f t="shared" si="47"/>
        <v/>
      </c>
    </row>
    <row r="157" hidden="1" spans="1:29">
      <c r="A157" s="181">
        <v>156</v>
      </c>
      <c r="B157" s="181" t="s">
        <v>335</v>
      </c>
      <c r="C157" s="181" t="s">
        <v>223</v>
      </c>
      <c r="D157" s="181" t="s">
        <v>336</v>
      </c>
      <c r="E157" s="206">
        <v>3</v>
      </c>
      <c r="F157" s="206">
        <v>3</v>
      </c>
      <c r="G157" s="206">
        <v>0</v>
      </c>
      <c r="H157" s="206">
        <v>0</v>
      </c>
      <c r="I157" s="185" t="str">
        <f t="shared" si="42"/>
        <v>完工</v>
      </c>
      <c r="J157" s="208">
        <v>3</v>
      </c>
      <c r="K157" s="209" t="str">
        <f t="shared" si="43"/>
        <v/>
      </c>
      <c r="L157" s="186"/>
      <c r="M157" s="210">
        <v>44440</v>
      </c>
      <c r="N157" s="210">
        <v>44499</v>
      </c>
      <c r="O157" s="181" t="s">
        <v>225</v>
      </c>
      <c r="P157" s="181" t="s">
        <v>39</v>
      </c>
      <c r="Q157" s="181"/>
      <c r="R157" s="186"/>
      <c r="S157" s="193">
        <f t="shared" si="39"/>
        <v>0</v>
      </c>
      <c r="T157" s="193" t="str">
        <f t="shared" si="44"/>
        <v/>
      </c>
      <c r="U157" s="175" t="str">
        <f t="shared" si="48"/>
        <v> </v>
      </c>
      <c r="V157" s="175" t="str">
        <f t="shared" si="50"/>
        <v/>
      </c>
      <c r="W157" s="175" t="str">
        <f t="shared" si="45"/>
        <v/>
      </c>
      <c r="X157" s="175" t="str">
        <f t="shared" si="46"/>
        <v/>
      </c>
      <c r="Y157" s="195" t="str">
        <f t="shared" si="49"/>
        <v/>
      </c>
      <c r="Z157" s="195" t="str">
        <f t="shared" si="40"/>
        <v/>
      </c>
      <c r="AA157" s="195" t="str">
        <f t="shared" si="41"/>
        <v/>
      </c>
      <c r="AC157" s="196" t="str">
        <f t="shared" si="47"/>
        <v/>
      </c>
    </row>
    <row r="158" hidden="1" spans="1:29">
      <c r="A158" s="181">
        <v>157</v>
      </c>
      <c r="B158" s="181" t="s">
        <v>337</v>
      </c>
      <c r="C158" s="181" t="s">
        <v>223</v>
      </c>
      <c r="D158" s="181" t="s">
        <v>338</v>
      </c>
      <c r="E158" s="206">
        <v>4.98</v>
      </c>
      <c r="F158" s="206">
        <v>4.98</v>
      </c>
      <c r="G158" s="206">
        <v>0</v>
      </c>
      <c r="H158" s="206">
        <v>0</v>
      </c>
      <c r="I158" s="185" t="str">
        <f t="shared" si="42"/>
        <v>完工</v>
      </c>
      <c r="J158" s="208">
        <v>4.98</v>
      </c>
      <c r="K158" s="209" t="str">
        <f t="shared" si="43"/>
        <v/>
      </c>
      <c r="L158" s="186"/>
      <c r="M158" s="210">
        <v>44440</v>
      </c>
      <c r="N158" s="210">
        <v>44499</v>
      </c>
      <c r="O158" s="181" t="s">
        <v>225</v>
      </c>
      <c r="P158" s="181" t="s">
        <v>39</v>
      </c>
      <c r="Q158" s="181"/>
      <c r="R158" s="186"/>
      <c r="S158" s="193">
        <f t="shared" si="39"/>
        <v>0</v>
      </c>
      <c r="T158" s="193" t="str">
        <f t="shared" si="44"/>
        <v/>
      </c>
      <c r="U158" s="175" t="str">
        <f t="shared" si="48"/>
        <v> </v>
      </c>
      <c r="V158" s="175" t="str">
        <f t="shared" si="50"/>
        <v/>
      </c>
      <c r="W158" s="175" t="str">
        <f t="shared" si="45"/>
        <v/>
      </c>
      <c r="X158" s="175" t="str">
        <f t="shared" si="46"/>
        <v/>
      </c>
      <c r="Y158" s="195" t="str">
        <f t="shared" si="49"/>
        <v/>
      </c>
      <c r="Z158" s="195" t="str">
        <f t="shared" si="40"/>
        <v/>
      </c>
      <c r="AA158" s="195" t="str">
        <f t="shared" si="41"/>
        <v/>
      </c>
      <c r="AC158" s="196" t="str">
        <f t="shared" si="47"/>
        <v/>
      </c>
    </row>
    <row r="159" hidden="1" spans="1:29">
      <c r="A159" s="181">
        <v>158</v>
      </c>
      <c r="B159" s="181" t="s">
        <v>339</v>
      </c>
      <c r="C159" s="181" t="s">
        <v>223</v>
      </c>
      <c r="D159" s="181" t="s">
        <v>340</v>
      </c>
      <c r="E159" s="206">
        <v>37.8794</v>
      </c>
      <c r="F159" s="206">
        <v>37.8794</v>
      </c>
      <c r="G159" s="206">
        <v>0</v>
      </c>
      <c r="H159" s="206">
        <v>0</v>
      </c>
      <c r="I159" s="185" t="str">
        <f t="shared" si="42"/>
        <v>完工</v>
      </c>
      <c r="J159" s="208">
        <v>37.8794</v>
      </c>
      <c r="K159" s="209" t="str">
        <f t="shared" si="43"/>
        <v/>
      </c>
      <c r="L159" s="186"/>
      <c r="M159" s="210">
        <v>44440</v>
      </c>
      <c r="N159" s="210">
        <v>44499</v>
      </c>
      <c r="O159" s="181" t="s">
        <v>225</v>
      </c>
      <c r="P159" s="181" t="s">
        <v>39</v>
      </c>
      <c r="Q159" s="181"/>
      <c r="R159" s="186"/>
      <c r="S159" s="193">
        <f t="shared" si="39"/>
        <v>0</v>
      </c>
      <c r="T159" s="193" t="str">
        <f t="shared" si="44"/>
        <v/>
      </c>
      <c r="U159" s="175" t="str">
        <f t="shared" si="48"/>
        <v> </v>
      </c>
      <c r="V159" s="175" t="str">
        <f t="shared" si="50"/>
        <v/>
      </c>
      <c r="W159" s="175" t="str">
        <f t="shared" si="45"/>
        <v/>
      </c>
      <c r="X159" s="175" t="str">
        <f t="shared" si="46"/>
        <v/>
      </c>
      <c r="Y159" s="195" t="str">
        <f t="shared" si="49"/>
        <v/>
      </c>
      <c r="Z159" s="195" t="str">
        <f t="shared" si="40"/>
        <v/>
      </c>
      <c r="AA159" s="195" t="str">
        <f t="shared" si="41"/>
        <v/>
      </c>
      <c r="AC159" s="196" t="str">
        <f t="shared" si="47"/>
        <v/>
      </c>
    </row>
    <row r="160" hidden="1" spans="1:29">
      <c r="A160" s="181">
        <v>159</v>
      </c>
      <c r="B160" s="181" t="s">
        <v>341</v>
      </c>
      <c r="C160" s="181" t="s">
        <v>223</v>
      </c>
      <c r="D160" s="181" t="s">
        <v>342</v>
      </c>
      <c r="E160" s="206">
        <v>10</v>
      </c>
      <c r="F160" s="206">
        <v>10</v>
      </c>
      <c r="G160" s="206">
        <v>0</v>
      </c>
      <c r="H160" s="206">
        <v>0</v>
      </c>
      <c r="I160" s="185" t="str">
        <f t="shared" si="42"/>
        <v>完工</v>
      </c>
      <c r="J160" s="208">
        <v>10</v>
      </c>
      <c r="K160" s="209" t="str">
        <f t="shared" si="43"/>
        <v/>
      </c>
      <c r="L160" s="186"/>
      <c r="M160" s="210">
        <v>44440</v>
      </c>
      <c r="N160" s="210">
        <v>44499</v>
      </c>
      <c r="O160" s="181" t="s">
        <v>225</v>
      </c>
      <c r="P160" s="181" t="s">
        <v>39</v>
      </c>
      <c r="Q160" s="181"/>
      <c r="R160" s="186"/>
      <c r="S160" s="193">
        <f t="shared" si="39"/>
        <v>0</v>
      </c>
      <c r="T160" s="193" t="str">
        <f t="shared" si="44"/>
        <v/>
      </c>
      <c r="U160" s="175" t="str">
        <f t="shared" si="48"/>
        <v> </v>
      </c>
      <c r="V160" s="175" t="str">
        <f t="shared" si="50"/>
        <v/>
      </c>
      <c r="W160" s="175" t="str">
        <f t="shared" si="45"/>
        <v/>
      </c>
      <c r="X160" s="175" t="str">
        <f t="shared" si="46"/>
        <v/>
      </c>
      <c r="Y160" s="195" t="str">
        <f t="shared" si="49"/>
        <v/>
      </c>
      <c r="Z160" s="195" t="str">
        <f t="shared" si="40"/>
        <v/>
      </c>
      <c r="AA160" s="195" t="str">
        <f t="shared" si="41"/>
        <v/>
      </c>
      <c r="AC160" s="196" t="str">
        <f t="shared" si="47"/>
        <v/>
      </c>
    </row>
    <row r="161" hidden="1" spans="1:29">
      <c r="A161" s="181">
        <v>160</v>
      </c>
      <c r="B161" s="181" t="s">
        <v>343</v>
      </c>
      <c r="C161" s="181" t="s">
        <v>223</v>
      </c>
      <c r="D161" s="181" t="s">
        <v>344</v>
      </c>
      <c r="E161" s="206">
        <v>7.2</v>
      </c>
      <c r="F161" s="206">
        <v>7.2</v>
      </c>
      <c r="G161" s="206">
        <v>0</v>
      </c>
      <c r="H161" s="206">
        <v>0</v>
      </c>
      <c r="I161" s="185" t="str">
        <f t="shared" si="42"/>
        <v>完工</v>
      </c>
      <c r="J161" s="208">
        <v>7.2</v>
      </c>
      <c r="K161" s="209" t="str">
        <f t="shared" si="43"/>
        <v/>
      </c>
      <c r="L161" s="186"/>
      <c r="M161" s="210">
        <v>44440</v>
      </c>
      <c r="N161" s="210">
        <v>44499</v>
      </c>
      <c r="O161" s="181" t="s">
        <v>225</v>
      </c>
      <c r="P161" s="181" t="s">
        <v>39</v>
      </c>
      <c r="Q161" s="181"/>
      <c r="R161" s="186"/>
      <c r="S161" s="193">
        <f t="shared" si="39"/>
        <v>0</v>
      </c>
      <c r="T161" s="193" t="str">
        <f t="shared" si="44"/>
        <v/>
      </c>
      <c r="U161" s="175" t="str">
        <f t="shared" si="48"/>
        <v> </v>
      </c>
      <c r="V161" s="175" t="str">
        <f t="shared" si="50"/>
        <v/>
      </c>
      <c r="W161" s="175" t="str">
        <f t="shared" si="45"/>
        <v/>
      </c>
      <c r="X161" s="175" t="str">
        <f t="shared" si="46"/>
        <v/>
      </c>
      <c r="Y161" s="195" t="str">
        <f t="shared" si="49"/>
        <v/>
      </c>
      <c r="Z161" s="195" t="str">
        <f t="shared" si="40"/>
        <v/>
      </c>
      <c r="AA161" s="195" t="str">
        <f t="shared" si="41"/>
        <v/>
      </c>
      <c r="AC161" s="196" t="str">
        <f t="shared" si="47"/>
        <v/>
      </c>
    </row>
    <row r="162" hidden="1" spans="1:29">
      <c r="A162" s="181">
        <v>161</v>
      </c>
      <c r="B162" s="181" t="s">
        <v>345</v>
      </c>
      <c r="C162" s="181" t="s">
        <v>223</v>
      </c>
      <c r="D162" s="181" t="s">
        <v>346</v>
      </c>
      <c r="E162" s="206">
        <v>11.6552</v>
      </c>
      <c r="F162" s="206">
        <v>11.6552</v>
      </c>
      <c r="G162" s="206">
        <v>0</v>
      </c>
      <c r="H162" s="206">
        <v>0</v>
      </c>
      <c r="I162" s="185" t="str">
        <f t="shared" si="42"/>
        <v>完工</v>
      </c>
      <c r="J162" s="208">
        <v>11.6552</v>
      </c>
      <c r="K162" s="209" t="str">
        <f t="shared" si="43"/>
        <v/>
      </c>
      <c r="L162" s="186"/>
      <c r="M162" s="210">
        <v>44440</v>
      </c>
      <c r="N162" s="210">
        <v>44499</v>
      </c>
      <c r="O162" s="181" t="s">
        <v>225</v>
      </c>
      <c r="P162" s="181" t="s">
        <v>39</v>
      </c>
      <c r="Q162" s="181"/>
      <c r="R162" s="186"/>
      <c r="S162" s="193">
        <f t="shared" si="39"/>
        <v>0</v>
      </c>
      <c r="T162" s="193" t="str">
        <f t="shared" si="44"/>
        <v/>
      </c>
      <c r="U162" s="175" t="str">
        <f t="shared" si="48"/>
        <v> </v>
      </c>
      <c r="V162" s="175" t="str">
        <f t="shared" si="50"/>
        <v/>
      </c>
      <c r="W162" s="175" t="str">
        <f t="shared" si="45"/>
        <v/>
      </c>
      <c r="X162" s="175" t="str">
        <f t="shared" si="46"/>
        <v/>
      </c>
      <c r="Y162" s="195" t="str">
        <f t="shared" si="49"/>
        <v/>
      </c>
      <c r="Z162" s="195" t="str">
        <f t="shared" si="40"/>
        <v/>
      </c>
      <c r="AA162" s="195" t="str">
        <f t="shared" si="41"/>
        <v/>
      </c>
      <c r="AC162" s="196" t="str">
        <f t="shared" si="47"/>
        <v/>
      </c>
    </row>
    <row r="163" hidden="1" spans="1:29">
      <c r="A163" s="181">
        <v>162</v>
      </c>
      <c r="B163" s="181" t="s">
        <v>347</v>
      </c>
      <c r="C163" s="181" t="s">
        <v>223</v>
      </c>
      <c r="D163" s="181"/>
      <c r="E163" s="206">
        <v>46.6208</v>
      </c>
      <c r="F163" s="206">
        <v>46.6208</v>
      </c>
      <c r="G163" s="206">
        <v>0</v>
      </c>
      <c r="H163" s="206">
        <v>0</v>
      </c>
      <c r="I163" s="185" t="str">
        <f t="shared" si="42"/>
        <v>完工</v>
      </c>
      <c r="J163" s="208">
        <v>46.6208</v>
      </c>
      <c r="K163" s="209" t="str">
        <f t="shared" si="43"/>
        <v/>
      </c>
      <c r="L163" s="186"/>
      <c r="M163" s="210">
        <v>44440</v>
      </c>
      <c r="N163" s="210">
        <v>44499</v>
      </c>
      <c r="O163" s="181" t="s">
        <v>225</v>
      </c>
      <c r="P163" s="181" t="s">
        <v>39</v>
      </c>
      <c r="Q163" s="181"/>
      <c r="R163" s="186"/>
      <c r="S163" s="193">
        <f t="shared" si="39"/>
        <v>0</v>
      </c>
      <c r="T163" s="193" t="str">
        <f t="shared" si="44"/>
        <v/>
      </c>
      <c r="U163" s="175" t="str">
        <f t="shared" si="48"/>
        <v> </v>
      </c>
      <c r="V163" s="175" t="str">
        <f t="shared" si="50"/>
        <v/>
      </c>
      <c r="W163" s="175" t="str">
        <f t="shared" si="45"/>
        <v/>
      </c>
      <c r="X163" s="175" t="str">
        <f t="shared" si="46"/>
        <v/>
      </c>
      <c r="Y163" s="195" t="str">
        <f t="shared" si="49"/>
        <v/>
      </c>
      <c r="Z163" s="195" t="str">
        <f t="shared" si="40"/>
        <v/>
      </c>
      <c r="AA163" s="195" t="str">
        <f t="shared" si="41"/>
        <v/>
      </c>
      <c r="AC163" s="196" t="str">
        <f t="shared" si="47"/>
        <v/>
      </c>
    </row>
    <row r="164" hidden="1" spans="1:29">
      <c r="A164" s="181">
        <v>163</v>
      </c>
      <c r="B164" s="181" t="s">
        <v>348</v>
      </c>
      <c r="C164" s="181" t="s">
        <v>223</v>
      </c>
      <c r="D164" s="181" t="s">
        <v>349</v>
      </c>
      <c r="E164" s="206">
        <v>3</v>
      </c>
      <c r="F164" s="206">
        <v>3</v>
      </c>
      <c r="G164" s="206">
        <v>0</v>
      </c>
      <c r="H164" s="206">
        <v>0</v>
      </c>
      <c r="I164" s="185" t="str">
        <f t="shared" si="42"/>
        <v>完工</v>
      </c>
      <c r="J164" s="208">
        <v>3</v>
      </c>
      <c r="K164" s="209" t="str">
        <f t="shared" si="43"/>
        <v/>
      </c>
      <c r="L164" s="186"/>
      <c r="M164" s="210">
        <v>44440</v>
      </c>
      <c r="N164" s="210">
        <v>44499</v>
      </c>
      <c r="O164" s="181" t="s">
        <v>225</v>
      </c>
      <c r="P164" s="181" t="s">
        <v>39</v>
      </c>
      <c r="Q164" s="181"/>
      <c r="R164" s="186"/>
      <c r="S164" s="193">
        <f t="shared" si="39"/>
        <v>0</v>
      </c>
      <c r="T164" s="193" t="str">
        <f t="shared" si="44"/>
        <v/>
      </c>
      <c r="U164" s="175" t="str">
        <f t="shared" si="48"/>
        <v> </v>
      </c>
      <c r="V164" s="175" t="str">
        <f t="shared" si="50"/>
        <v/>
      </c>
      <c r="W164" s="175" t="str">
        <f t="shared" si="45"/>
        <v/>
      </c>
      <c r="X164" s="175" t="str">
        <f t="shared" si="46"/>
        <v/>
      </c>
      <c r="Y164" s="195" t="str">
        <f t="shared" si="49"/>
        <v/>
      </c>
      <c r="Z164" s="195" t="str">
        <f t="shared" si="40"/>
        <v/>
      </c>
      <c r="AA164" s="195" t="str">
        <f t="shared" si="41"/>
        <v/>
      </c>
      <c r="AC164" s="196" t="str">
        <f t="shared" si="47"/>
        <v/>
      </c>
    </row>
    <row r="165" hidden="1" spans="1:29">
      <c r="A165" s="181">
        <v>164</v>
      </c>
      <c r="B165" s="181" t="s">
        <v>350</v>
      </c>
      <c r="C165" s="181" t="s">
        <v>223</v>
      </c>
      <c r="D165" s="181" t="s">
        <v>351</v>
      </c>
      <c r="E165" s="206">
        <v>1.631728</v>
      </c>
      <c r="F165" s="206">
        <v>1.631728</v>
      </c>
      <c r="G165" s="206">
        <v>0</v>
      </c>
      <c r="H165" s="206">
        <v>0</v>
      </c>
      <c r="I165" s="185" t="str">
        <f t="shared" si="42"/>
        <v>完工</v>
      </c>
      <c r="J165" s="208">
        <v>1.631728</v>
      </c>
      <c r="K165" s="209" t="str">
        <f t="shared" si="43"/>
        <v/>
      </c>
      <c r="L165" s="186"/>
      <c r="M165" s="210">
        <v>44440</v>
      </c>
      <c r="N165" s="210">
        <v>44499</v>
      </c>
      <c r="O165" s="181" t="s">
        <v>225</v>
      </c>
      <c r="P165" s="181" t="s">
        <v>39</v>
      </c>
      <c r="Q165" s="181"/>
      <c r="R165" s="186"/>
      <c r="S165" s="193">
        <f t="shared" si="39"/>
        <v>0</v>
      </c>
      <c r="T165" s="193" t="str">
        <f t="shared" si="44"/>
        <v/>
      </c>
      <c r="U165" s="175" t="str">
        <f t="shared" si="48"/>
        <v> </v>
      </c>
      <c r="V165" s="175" t="str">
        <f t="shared" si="50"/>
        <v/>
      </c>
      <c r="W165" s="175" t="str">
        <f t="shared" si="45"/>
        <v/>
      </c>
      <c r="X165" s="175" t="str">
        <f t="shared" si="46"/>
        <v/>
      </c>
      <c r="Y165" s="195" t="str">
        <f t="shared" si="49"/>
        <v/>
      </c>
      <c r="Z165" s="195" t="str">
        <f t="shared" si="40"/>
        <v/>
      </c>
      <c r="AA165" s="195" t="str">
        <f t="shared" si="41"/>
        <v/>
      </c>
      <c r="AC165" s="196" t="str">
        <f t="shared" si="47"/>
        <v/>
      </c>
    </row>
    <row r="166" hidden="1" spans="1:29">
      <c r="A166" s="181">
        <v>165</v>
      </c>
      <c r="B166" s="181" t="s">
        <v>352</v>
      </c>
      <c r="C166" s="181" t="s">
        <v>223</v>
      </c>
      <c r="D166" s="181" t="s">
        <v>353</v>
      </c>
      <c r="E166" s="206">
        <v>1.5</v>
      </c>
      <c r="F166" s="206">
        <v>1.5</v>
      </c>
      <c r="G166" s="206">
        <v>0</v>
      </c>
      <c r="H166" s="206">
        <v>0</v>
      </c>
      <c r="I166" s="185" t="str">
        <f t="shared" si="42"/>
        <v>完工</v>
      </c>
      <c r="J166" s="208">
        <v>1.5</v>
      </c>
      <c r="K166" s="209" t="str">
        <f t="shared" si="43"/>
        <v/>
      </c>
      <c r="L166" s="186"/>
      <c r="M166" s="210">
        <v>44440</v>
      </c>
      <c r="N166" s="210">
        <v>44499</v>
      </c>
      <c r="O166" s="181" t="s">
        <v>225</v>
      </c>
      <c r="P166" s="181" t="s">
        <v>39</v>
      </c>
      <c r="Q166" s="181"/>
      <c r="R166" s="186"/>
      <c r="S166" s="193">
        <f t="shared" si="39"/>
        <v>0</v>
      </c>
      <c r="T166" s="193" t="str">
        <f t="shared" si="44"/>
        <v/>
      </c>
      <c r="U166" s="175" t="str">
        <f t="shared" si="48"/>
        <v> </v>
      </c>
      <c r="V166" s="175" t="str">
        <f t="shared" si="50"/>
        <v/>
      </c>
      <c r="W166" s="175" t="str">
        <f t="shared" si="45"/>
        <v/>
      </c>
      <c r="X166" s="175" t="str">
        <f t="shared" si="46"/>
        <v/>
      </c>
      <c r="Y166" s="195" t="str">
        <f t="shared" si="49"/>
        <v/>
      </c>
      <c r="Z166" s="195" t="str">
        <f t="shared" si="40"/>
        <v/>
      </c>
      <c r="AA166" s="195" t="str">
        <f t="shared" si="41"/>
        <v/>
      </c>
      <c r="AC166" s="196" t="str">
        <f t="shared" si="47"/>
        <v/>
      </c>
    </row>
    <row r="167" hidden="1" spans="1:29">
      <c r="A167" s="181">
        <v>166</v>
      </c>
      <c r="B167" s="181" t="s">
        <v>354</v>
      </c>
      <c r="C167" s="181" t="s">
        <v>223</v>
      </c>
      <c r="D167" s="181" t="s">
        <v>355</v>
      </c>
      <c r="E167" s="206">
        <v>2.5</v>
      </c>
      <c r="F167" s="206">
        <v>2.5</v>
      </c>
      <c r="G167" s="206">
        <v>0</v>
      </c>
      <c r="H167" s="206">
        <v>0</v>
      </c>
      <c r="I167" s="185" t="str">
        <f t="shared" si="42"/>
        <v>完工</v>
      </c>
      <c r="J167" s="208">
        <v>2.5</v>
      </c>
      <c r="K167" s="209" t="str">
        <f t="shared" si="43"/>
        <v/>
      </c>
      <c r="L167" s="186"/>
      <c r="M167" s="210">
        <v>44440</v>
      </c>
      <c r="N167" s="210">
        <v>44499</v>
      </c>
      <c r="O167" s="181" t="s">
        <v>225</v>
      </c>
      <c r="P167" s="181" t="s">
        <v>39</v>
      </c>
      <c r="Q167" s="181"/>
      <c r="R167" s="186"/>
      <c r="S167" s="193">
        <f t="shared" si="39"/>
        <v>0</v>
      </c>
      <c r="T167" s="193" t="str">
        <f t="shared" si="44"/>
        <v/>
      </c>
      <c r="U167" s="175" t="str">
        <f t="shared" ref="U167:U198" si="51">IF(I167="完工"," ",0)</f>
        <v> </v>
      </c>
      <c r="V167" s="175" t="str">
        <f t="shared" si="50"/>
        <v/>
      </c>
      <c r="W167" s="175" t="str">
        <f t="shared" si="45"/>
        <v/>
      </c>
      <c r="X167" s="175" t="str">
        <f t="shared" si="46"/>
        <v/>
      </c>
      <c r="Y167" s="195" t="str">
        <f t="shared" si="49"/>
        <v/>
      </c>
      <c r="Z167" s="195" t="str">
        <f t="shared" si="40"/>
        <v/>
      </c>
      <c r="AA167" s="195" t="str">
        <f t="shared" si="41"/>
        <v/>
      </c>
      <c r="AC167" s="196" t="str">
        <f t="shared" si="47"/>
        <v/>
      </c>
    </row>
    <row r="168" hidden="1" spans="1:29">
      <c r="A168" s="181">
        <v>167</v>
      </c>
      <c r="B168" s="181" t="s">
        <v>356</v>
      </c>
      <c r="C168" s="181" t="s">
        <v>223</v>
      </c>
      <c r="D168" s="181" t="s">
        <v>357</v>
      </c>
      <c r="E168" s="206">
        <v>1.3</v>
      </c>
      <c r="F168" s="206">
        <v>1.3</v>
      </c>
      <c r="G168" s="206">
        <v>0</v>
      </c>
      <c r="H168" s="206">
        <v>0</v>
      </c>
      <c r="I168" s="185" t="str">
        <f t="shared" si="42"/>
        <v>完工</v>
      </c>
      <c r="J168" s="208">
        <v>1.3</v>
      </c>
      <c r="K168" s="209" t="str">
        <f t="shared" si="43"/>
        <v/>
      </c>
      <c r="L168" s="186"/>
      <c r="M168" s="210">
        <v>44440</v>
      </c>
      <c r="N168" s="210">
        <v>44499</v>
      </c>
      <c r="O168" s="181" t="s">
        <v>225</v>
      </c>
      <c r="P168" s="181" t="s">
        <v>39</v>
      </c>
      <c r="Q168" s="181"/>
      <c r="R168" s="186"/>
      <c r="S168" s="193">
        <f t="shared" si="39"/>
        <v>0</v>
      </c>
      <c r="T168" s="193" t="str">
        <f t="shared" si="44"/>
        <v/>
      </c>
      <c r="U168" s="175" t="str">
        <f t="shared" si="51"/>
        <v> </v>
      </c>
      <c r="V168" s="175" t="str">
        <f t="shared" si="50"/>
        <v/>
      </c>
      <c r="W168" s="175" t="str">
        <f t="shared" si="45"/>
        <v/>
      </c>
      <c r="X168" s="175" t="str">
        <f t="shared" si="46"/>
        <v/>
      </c>
      <c r="Y168" s="195" t="str">
        <f t="shared" si="49"/>
        <v/>
      </c>
      <c r="Z168" s="195" t="str">
        <f t="shared" si="40"/>
        <v/>
      </c>
      <c r="AA168" s="195" t="str">
        <f t="shared" si="41"/>
        <v/>
      </c>
      <c r="AC168" s="196" t="str">
        <f t="shared" si="47"/>
        <v/>
      </c>
    </row>
    <row r="169" hidden="1" spans="1:29">
      <c r="A169" s="181">
        <v>168</v>
      </c>
      <c r="B169" s="181" t="s">
        <v>358</v>
      </c>
      <c r="C169" s="181" t="s">
        <v>223</v>
      </c>
      <c r="D169" s="181" t="s">
        <v>359</v>
      </c>
      <c r="E169" s="206">
        <v>170</v>
      </c>
      <c r="F169" s="206">
        <v>2</v>
      </c>
      <c r="G169" s="206">
        <v>168</v>
      </c>
      <c r="H169" s="206">
        <v>0</v>
      </c>
      <c r="I169" s="185" t="str">
        <f t="shared" si="42"/>
        <v>完工</v>
      </c>
      <c r="J169" s="208">
        <v>170</v>
      </c>
      <c r="K169" s="209">
        <f t="shared" si="43"/>
        <v>168</v>
      </c>
      <c r="L169" s="186"/>
      <c r="M169" s="210">
        <v>44440</v>
      </c>
      <c r="N169" s="210">
        <v>44499</v>
      </c>
      <c r="O169" s="181" t="s">
        <v>225</v>
      </c>
      <c r="P169" s="181" t="s">
        <v>39</v>
      </c>
      <c r="Q169" s="181"/>
      <c r="R169" s="186"/>
      <c r="S169" s="193">
        <f t="shared" si="39"/>
        <v>0</v>
      </c>
      <c r="T169" s="193" t="str">
        <f t="shared" si="44"/>
        <v/>
      </c>
      <c r="U169" s="175" t="str">
        <f t="shared" si="51"/>
        <v> </v>
      </c>
      <c r="V169" s="175" t="str">
        <f t="shared" si="50"/>
        <v/>
      </c>
      <c r="W169" s="175" t="str">
        <f t="shared" si="45"/>
        <v/>
      </c>
      <c r="X169" s="175" t="str">
        <f t="shared" si="46"/>
        <v/>
      </c>
      <c r="Y169" s="195" t="str">
        <f t="shared" si="49"/>
        <v/>
      </c>
      <c r="Z169" s="195" t="str">
        <f t="shared" si="40"/>
        <v/>
      </c>
      <c r="AA169" s="195" t="str">
        <f t="shared" si="41"/>
        <v/>
      </c>
      <c r="AC169" s="196" t="str">
        <f t="shared" si="47"/>
        <v/>
      </c>
    </row>
    <row r="170" hidden="1" spans="1:29">
      <c r="A170" s="181">
        <v>169</v>
      </c>
      <c r="B170" s="181" t="s">
        <v>360</v>
      </c>
      <c r="C170" s="181" t="s">
        <v>223</v>
      </c>
      <c r="D170" s="181" t="s">
        <v>361</v>
      </c>
      <c r="E170" s="206">
        <v>85</v>
      </c>
      <c r="F170" s="206">
        <v>2</v>
      </c>
      <c r="G170" s="206">
        <v>83</v>
      </c>
      <c r="H170" s="206">
        <v>0</v>
      </c>
      <c r="I170" s="185" t="str">
        <f t="shared" si="42"/>
        <v>完工</v>
      </c>
      <c r="J170" s="208">
        <v>85</v>
      </c>
      <c r="K170" s="209">
        <f t="shared" si="43"/>
        <v>83</v>
      </c>
      <c r="L170" s="186"/>
      <c r="M170" s="210">
        <v>44440</v>
      </c>
      <c r="N170" s="210">
        <v>44499</v>
      </c>
      <c r="O170" s="181" t="s">
        <v>225</v>
      </c>
      <c r="P170" s="181" t="s">
        <v>39</v>
      </c>
      <c r="Q170" s="181"/>
      <c r="R170" s="186"/>
      <c r="S170" s="193">
        <f t="shared" si="39"/>
        <v>0</v>
      </c>
      <c r="T170" s="193" t="str">
        <f t="shared" si="44"/>
        <v/>
      </c>
      <c r="U170" s="175" t="str">
        <f t="shared" si="51"/>
        <v> </v>
      </c>
      <c r="V170" s="175" t="str">
        <f t="shared" si="50"/>
        <v/>
      </c>
      <c r="W170" s="175" t="str">
        <f t="shared" si="45"/>
        <v/>
      </c>
      <c r="X170" s="175" t="str">
        <f t="shared" si="46"/>
        <v/>
      </c>
      <c r="Y170" s="195" t="str">
        <f t="shared" si="49"/>
        <v/>
      </c>
      <c r="Z170" s="195" t="str">
        <f t="shared" si="40"/>
        <v/>
      </c>
      <c r="AA170" s="195" t="str">
        <f t="shared" si="41"/>
        <v/>
      </c>
      <c r="AC170" s="196" t="str">
        <f t="shared" si="47"/>
        <v/>
      </c>
    </row>
    <row r="171" hidden="1" spans="1:29">
      <c r="A171" s="181">
        <v>170</v>
      </c>
      <c r="B171" s="181" t="s">
        <v>362</v>
      </c>
      <c r="C171" s="181" t="s">
        <v>223</v>
      </c>
      <c r="D171" s="181" t="s">
        <v>363</v>
      </c>
      <c r="E171" s="206">
        <v>100.047972</v>
      </c>
      <c r="F171" s="206">
        <v>2</v>
      </c>
      <c r="G171" s="206">
        <v>98.047972</v>
      </c>
      <c r="H171" s="206">
        <v>0</v>
      </c>
      <c r="I171" s="185" t="str">
        <f t="shared" si="42"/>
        <v>完工</v>
      </c>
      <c r="J171" s="208">
        <v>100.047972</v>
      </c>
      <c r="K171" s="209">
        <f t="shared" si="43"/>
        <v>98.047972</v>
      </c>
      <c r="L171" s="186"/>
      <c r="M171" s="210">
        <v>44440</v>
      </c>
      <c r="N171" s="210">
        <v>44499</v>
      </c>
      <c r="O171" s="181" t="s">
        <v>225</v>
      </c>
      <c r="P171" s="181" t="s">
        <v>39</v>
      </c>
      <c r="Q171" s="181"/>
      <c r="R171" s="186"/>
      <c r="S171" s="193">
        <f t="shared" si="39"/>
        <v>0</v>
      </c>
      <c r="T171" s="193" t="str">
        <f t="shared" si="44"/>
        <v/>
      </c>
      <c r="U171" s="175" t="str">
        <f t="shared" si="51"/>
        <v> </v>
      </c>
      <c r="V171" s="175" t="str">
        <f t="shared" si="50"/>
        <v/>
      </c>
      <c r="W171" s="175" t="str">
        <f t="shared" si="45"/>
        <v/>
      </c>
      <c r="X171" s="175" t="str">
        <f t="shared" si="46"/>
        <v/>
      </c>
      <c r="Y171" s="195" t="str">
        <f t="shared" si="49"/>
        <v/>
      </c>
      <c r="Z171" s="195" t="str">
        <f t="shared" si="40"/>
        <v/>
      </c>
      <c r="AA171" s="195" t="str">
        <f t="shared" si="41"/>
        <v/>
      </c>
      <c r="AC171" s="196" t="str">
        <f t="shared" si="47"/>
        <v/>
      </c>
    </row>
    <row r="172" hidden="1" spans="1:29">
      <c r="A172" s="181">
        <v>171</v>
      </c>
      <c r="B172" s="181" t="s">
        <v>364</v>
      </c>
      <c r="C172" s="181" t="s">
        <v>223</v>
      </c>
      <c r="D172" s="181" t="s">
        <v>365</v>
      </c>
      <c r="E172" s="206">
        <v>395</v>
      </c>
      <c r="F172" s="206">
        <v>2</v>
      </c>
      <c r="G172" s="206">
        <v>393</v>
      </c>
      <c r="H172" s="206">
        <v>0</v>
      </c>
      <c r="I172" s="185" t="str">
        <f t="shared" si="42"/>
        <v>完工</v>
      </c>
      <c r="J172" s="208">
        <v>395</v>
      </c>
      <c r="K172" s="209">
        <f t="shared" si="43"/>
        <v>393</v>
      </c>
      <c r="L172" s="186"/>
      <c r="M172" s="210">
        <v>44440</v>
      </c>
      <c r="N172" s="210">
        <v>44499</v>
      </c>
      <c r="O172" s="181" t="s">
        <v>225</v>
      </c>
      <c r="P172" s="181" t="s">
        <v>39</v>
      </c>
      <c r="Q172" s="181"/>
      <c r="R172" s="186"/>
      <c r="S172" s="193">
        <f t="shared" si="39"/>
        <v>0</v>
      </c>
      <c r="T172" s="193" t="str">
        <f t="shared" si="44"/>
        <v/>
      </c>
      <c r="U172" s="175" t="str">
        <f t="shared" si="51"/>
        <v> </v>
      </c>
      <c r="V172" s="175" t="str">
        <f t="shared" si="50"/>
        <v/>
      </c>
      <c r="W172" s="175" t="str">
        <f t="shared" si="45"/>
        <v/>
      </c>
      <c r="X172" s="175" t="str">
        <f t="shared" si="46"/>
        <v/>
      </c>
      <c r="Y172" s="195" t="str">
        <f t="shared" si="49"/>
        <v/>
      </c>
      <c r="Z172" s="195" t="str">
        <f t="shared" si="40"/>
        <v/>
      </c>
      <c r="AA172" s="195" t="str">
        <f t="shared" si="41"/>
        <v/>
      </c>
      <c r="AC172" s="196" t="str">
        <f t="shared" si="47"/>
        <v/>
      </c>
    </row>
    <row r="173" hidden="1" spans="1:29">
      <c r="A173" s="181">
        <v>172</v>
      </c>
      <c r="B173" s="181" t="s">
        <v>366</v>
      </c>
      <c r="C173" s="181" t="s">
        <v>223</v>
      </c>
      <c r="D173" s="181" t="s">
        <v>367</v>
      </c>
      <c r="E173" s="206">
        <v>5</v>
      </c>
      <c r="F173" s="206">
        <v>5</v>
      </c>
      <c r="G173" s="206">
        <v>0</v>
      </c>
      <c r="H173" s="206">
        <v>0</v>
      </c>
      <c r="I173" s="185" t="str">
        <f t="shared" si="42"/>
        <v>完工</v>
      </c>
      <c r="J173" s="208">
        <v>5</v>
      </c>
      <c r="K173" s="209" t="str">
        <f t="shared" si="43"/>
        <v/>
      </c>
      <c r="L173" s="186"/>
      <c r="M173" s="210">
        <v>44440</v>
      </c>
      <c r="N173" s="210">
        <v>44499</v>
      </c>
      <c r="O173" s="181" t="s">
        <v>225</v>
      </c>
      <c r="P173" s="181" t="s">
        <v>39</v>
      </c>
      <c r="Q173" s="181"/>
      <c r="R173" s="186"/>
      <c r="S173" s="193">
        <f t="shared" si="39"/>
        <v>0</v>
      </c>
      <c r="T173" s="193" t="str">
        <f t="shared" si="44"/>
        <v/>
      </c>
      <c r="U173" s="175" t="str">
        <f t="shared" si="51"/>
        <v> </v>
      </c>
      <c r="V173" s="175" t="str">
        <f t="shared" si="50"/>
        <v/>
      </c>
      <c r="W173" s="175" t="str">
        <f t="shared" si="45"/>
        <v/>
      </c>
      <c r="X173" s="175" t="str">
        <f t="shared" si="46"/>
        <v/>
      </c>
      <c r="Y173" s="195" t="str">
        <f t="shared" si="49"/>
        <v/>
      </c>
      <c r="Z173" s="195" t="str">
        <f t="shared" si="40"/>
        <v/>
      </c>
      <c r="AA173" s="195" t="str">
        <f t="shared" si="41"/>
        <v/>
      </c>
      <c r="AC173" s="196" t="str">
        <f t="shared" si="47"/>
        <v/>
      </c>
    </row>
    <row r="174" hidden="1" spans="1:29">
      <c r="A174" s="181">
        <v>173</v>
      </c>
      <c r="B174" s="181" t="s">
        <v>368</v>
      </c>
      <c r="C174" s="181" t="s">
        <v>223</v>
      </c>
      <c r="D174" s="181" t="s">
        <v>369</v>
      </c>
      <c r="E174" s="206">
        <v>1</v>
      </c>
      <c r="F174" s="206">
        <v>1</v>
      </c>
      <c r="G174" s="206">
        <v>0</v>
      </c>
      <c r="H174" s="206">
        <v>0</v>
      </c>
      <c r="I174" s="185" t="str">
        <f t="shared" si="42"/>
        <v>完工</v>
      </c>
      <c r="J174" s="208">
        <v>1</v>
      </c>
      <c r="K174" s="209" t="str">
        <f t="shared" si="43"/>
        <v/>
      </c>
      <c r="L174" s="186"/>
      <c r="M174" s="210">
        <v>44440</v>
      </c>
      <c r="N174" s="210">
        <v>44499</v>
      </c>
      <c r="O174" s="181" t="s">
        <v>225</v>
      </c>
      <c r="P174" s="181" t="s">
        <v>39</v>
      </c>
      <c r="Q174" s="181"/>
      <c r="R174" s="186"/>
      <c r="S174" s="193">
        <f t="shared" si="39"/>
        <v>0</v>
      </c>
      <c r="T174" s="193" t="str">
        <f t="shared" si="44"/>
        <v/>
      </c>
      <c r="U174" s="175" t="str">
        <f t="shared" si="51"/>
        <v> </v>
      </c>
      <c r="V174" s="175" t="str">
        <f t="shared" si="50"/>
        <v/>
      </c>
      <c r="W174" s="175" t="str">
        <f t="shared" si="45"/>
        <v/>
      </c>
      <c r="X174" s="175" t="str">
        <f t="shared" si="46"/>
        <v/>
      </c>
      <c r="Y174" s="195" t="str">
        <f t="shared" si="49"/>
        <v/>
      </c>
      <c r="Z174" s="195" t="str">
        <f t="shared" si="40"/>
        <v/>
      </c>
      <c r="AA174" s="195" t="str">
        <f t="shared" si="41"/>
        <v/>
      </c>
      <c r="AC174" s="196" t="str">
        <f t="shared" si="47"/>
        <v/>
      </c>
    </row>
    <row r="175" hidden="1" spans="1:29">
      <c r="A175" s="181">
        <v>174</v>
      </c>
      <c r="B175" s="181" t="s">
        <v>370</v>
      </c>
      <c r="C175" s="181" t="s">
        <v>223</v>
      </c>
      <c r="D175" s="181" t="s">
        <v>371</v>
      </c>
      <c r="E175" s="206">
        <v>5</v>
      </c>
      <c r="F175" s="206">
        <v>5</v>
      </c>
      <c r="G175" s="206">
        <v>0</v>
      </c>
      <c r="H175" s="206">
        <v>0</v>
      </c>
      <c r="I175" s="185" t="str">
        <f t="shared" si="42"/>
        <v>完工</v>
      </c>
      <c r="J175" s="208">
        <v>5</v>
      </c>
      <c r="K175" s="209" t="str">
        <f t="shared" si="43"/>
        <v/>
      </c>
      <c r="L175" s="186"/>
      <c r="M175" s="210">
        <v>44440</v>
      </c>
      <c r="N175" s="210">
        <v>44499</v>
      </c>
      <c r="O175" s="181" t="s">
        <v>225</v>
      </c>
      <c r="P175" s="181" t="s">
        <v>39</v>
      </c>
      <c r="Q175" s="181"/>
      <c r="R175" s="186"/>
      <c r="S175" s="193">
        <f t="shared" si="39"/>
        <v>0</v>
      </c>
      <c r="T175" s="193" t="str">
        <f t="shared" si="44"/>
        <v/>
      </c>
      <c r="U175" s="175" t="str">
        <f t="shared" si="51"/>
        <v> </v>
      </c>
      <c r="V175" s="175" t="str">
        <f t="shared" si="50"/>
        <v/>
      </c>
      <c r="W175" s="175" t="str">
        <f t="shared" si="45"/>
        <v/>
      </c>
      <c r="X175" s="175" t="str">
        <f t="shared" si="46"/>
        <v/>
      </c>
      <c r="Y175" s="195" t="str">
        <f t="shared" si="49"/>
        <v/>
      </c>
      <c r="Z175" s="195" t="str">
        <f t="shared" si="40"/>
        <v/>
      </c>
      <c r="AA175" s="195" t="str">
        <f t="shared" si="41"/>
        <v/>
      </c>
      <c r="AC175" s="196" t="str">
        <f t="shared" si="47"/>
        <v/>
      </c>
    </row>
    <row r="176" hidden="1" spans="1:29">
      <c r="A176" s="181">
        <v>175</v>
      </c>
      <c r="B176" s="181" t="s">
        <v>372</v>
      </c>
      <c r="C176" s="181" t="s">
        <v>223</v>
      </c>
      <c r="D176" s="181" t="s">
        <v>373</v>
      </c>
      <c r="E176" s="206">
        <v>1.7483</v>
      </c>
      <c r="F176" s="206">
        <v>1.7483</v>
      </c>
      <c r="G176" s="206">
        <v>0</v>
      </c>
      <c r="H176" s="206">
        <v>0</v>
      </c>
      <c r="I176" s="185" t="str">
        <f t="shared" si="42"/>
        <v>完工</v>
      </c>
      <c r="J176" s="208">
        <v>1.7483</v>
      </c>
      <c r="K176" s="209" t="str">
        <f t="shared" si="43"/>
        <v/>
      </c>
      <c r="L176" s="186"/>
      <c r="M176" s="210">
        <v>44440</v>
      </c>
      <c r="N176" s="210">
        <v>44499</v>
      </c>
      <c r="O176" s="181" t="s">
        <v>225</v>
      </c>
      <c r="P176" s="181" t="s">
        <v>39</v>
      </c>
      <c r="Q176" s="181"/>
      <c r="R176" s="186"/>
      <c r="S176" s="193">
        <f t="shared" si="39"/>
        <v>0</v>
      </c>
      <c r="T176" s="193" t="str">
        <f t="shared" si="44"/>
        <v/>
      </c>
      <c r="U176" s="175" t="str">
        <f t="shared" si="51"/>
        <v> </v>
      </c>
      <c r="V176" s="175" t="str">
        <f t="shared" si="50"/>
        <v/>
      </c>
      <c r="W176" s="175" t="str">
        <f t="shared" si="45"/>
        <v/>
      </c>
      <c r="X176" s="175" t="str">
        <f t="shared" si="46"/>
        <v/>
      </c>
      <c r="Y176" s="195" t="str">
        <f t="shared" si="49"/>
        <v/>
      </c>
      <c r="Z176" s="195" t="str">
        <f t="shared" si="40"/>
        <v/>
      </c>
      <c r="AA176" s="195" t="str">
        <f t="shared" si="41"/>
        <v/>
      </c>
      <c r="AC176" s="196" t="str">
        <f t="shared" si="47"/>
        <v/>
      </c>
    </row>
    <row r="177" hidden="1" spans="1:29">
      <c r="A177" s="181">
        <v>176</v>
      </c>
      <c r="B177" s="181" t="s">
        <v>374</v>
      </c>
      <c r="C177" s="181" t="s">
        <v>223</v>
      </c>
      <c r="D177" s="181" t="s">
        <v>375</v>
      </c>
      <c r="E177" s="206">
        <v>1.1656</v>
      </c>
      <c r="F177" s="206">
        <v>1.1656</v>
      </c>
      <c r="G177" s="206">
        <v>0</v>
      </c>
      <c r="H177" s="206">
        <v>0</v>
      </c>
      <c r="I177" s="185" t="str">
        <f t="shared" si="42"/>
        <v>完工</v>
      </c>
      <c r="J177" s="208">
        <v>1.1656</v>
      </c>
      <c r="K177" s="209" t="str">
        <f t="shared" si="43"/>
        <v/>
      </c>
      <c r="L177" s="186"/>
      <c r="M177" s="210">
        <v>44440</v>
      </c>
      <c r="N177" s="210">
        <v>44499</v>
      </c>
      <c r="O177" s="181" t="s">
        <v>225</v>
      </c>
      <c r="P177" s="181" t="s">
        <v>39</v>
      </c>
      <c r="Q177" s="181"/>
      <c r="R177" s="186"/>
      <c r="S177" s="193">
        <f t="shared" si="39"/>
        <v>0</v>
      </c>
      <c r="T177" s="193" t="str">
        <f t="shared" si="44"/>
        <v/>
      </c>
      <c r="U177" s="175" t="str">
        <f t="shared" si="51"/>
        <v> </v>
      </c>
      <c r="V177" s="175" t="str">
        <f t="shared" si="50"/>
        <v/>
      </c>
      <c r="W177" s="175" t="str">
        <f t="shared" si="45"/>
        <v/>
      </c>
      <c r="X177" s="175" t="str">
        <f t="shared" si="46"/>
        <v/>
      </c>
      <c r="Y177" s="195" t="str">
        <f t="shared" si="49"/>
        <v/>
      </c>
      <c r="Z177" s="195" t="str">
        <f t="shared" si="40"/>
        <v/>
      </c>
      <c r="AA177" s="195" t="str">
        <f t="shared" si="41"/>
        <v/>
      </c>
      <c r="AC177" s="196" t="str">
        <f t="shared" si="47"/>
        <v/>
      </c>
    </row>
    <row r="178" hidden="1" spans="1:29">
      <c r="A178" s="181">
        <v>177</v>
      </c>
      <c r="B178" s="181" t="s">
        <v>376</v>
      </c>
      <c r="C178" s="181" t="s">
        <v>223</v>
      </c>
      <c r="D178" s="181" t="s">
        <v>377</v>
      </c>
      <c r="E178" s="206">
        <v>3</v>
      </c>
      <c r="F178" s="206">
        <v>3</v>
      </c>
      <c r="G178" s="206">
        <v>0</v>
      </c>
      <c r="H178" s="206">
        <v>0</v>
      </c>
      <c r="I178" s="185" t="str">
        <f t="shared" si="42"/>
        <v>完工</v>
      </c>
      <c r="J178" s="208">
        <v>3</v>
      </c>
      <c r="K178" s="209" t="str">
        <f t="shared" si="43"/>
        <v/>
      </c>
      <c r="L178" s="186"/>
      <c r="M178" s="210">
        <v>44440</v>
      </c>
      <c r="N178" s="210">
        <v>44499</v>
      </c>
      <c r="O178" s="181" t="s">
        <v>225</v>
      </c>
      <c r="P178" s="181" t="s">
        <v>39</v>
      </c>
      <c r="Q178" s="181"/>
      <c r="R178" s="186"/>
      <c r="S178" s="193">
        <f t="shared" si="39"/>
        <v>0</v>
      </c>
      <c r="T178" s="193" t="str">
        <f t="shared" si="44"/>
        <v/>
      </c>
      <c r="U178" s="175" t="str">
        <f t="shared" si="51"/>
        <v> </v>
      </c>
      <c r="V178" s="175" t="str">
        <f t="shared" si="50"/>
        <v/>
      </c>
      <c r="W178" s="175" t="str">
        <f t="shared" si="45"/>
        <v/>
      </c>
      <c r="X178" s="175" t="str">
        <f t="shared" si="46"/>
        <v/>
      </c>
      <c r="Y178" s="195" t="str">
        <f t="shared" si="49"/>
        <v/>
      </c>
      <c r="Z178" s="195" t="str">
        <f t="shared" si="40"/>
        <v/>
      </c>
      <c r="AA178" s="195" t="str">
        <f t="shared" si="41"/>
        <v/>
      </c>
      <c r="AC178" s="196" t="str">
        <f t="shared" si="47"/>
        <v/>
      </c>
    </row>
    <row r="179" hidden="1" spans="1:29">
      <c r="A179" s="181">
        <v>178</v>
      </c>
      <c r="B179" s="181" t="s">
        <v>378</v>
      </c>
      <c r="C179" s="181" t="s">
        <v>223</v>
      </c>
      <c r="D179" s="181" t="s">
        <v>379</v>
      </c>
      <c r="E179" s="206">
        <v>4</v>
      </c>
      <c r="F179" s="206">
        <v>4</v>
      </c>
      <c r="G179" s="206">
        <v>0</v>
      </c>
      <c r="H179" s="206">
        <v>0</v>
      </c>
      <c r="I179" s="185" t="str">
        <f t="shared" si="42"/>
        <v>完工</v>
      </c>
      <c r="J179" s="208">
        <v>4</v>
      </c>
      <c r="K179" s="209" t="str">
        <f t="shared" si="43"/>
        <v/>
      </c>
      <c r="L179" s="186"/>
      <c r="M179" s="210">
        <v>44440</v>
      </c>
      <c r="N179" s="210">
        <v>44499</v>
      </c>
      <c r="O179" s="181" t="s">
        <v>225</v>
      </c>
      <c r="P179" s="181" t="s">
        <v>39</v>
      </c>
      <c r="Q179" s="181"/>
      <c r="R179" s="186"/>
      <c r="S179" s="193">
        <f t="shared" si="39"/>
        <v>0</v>
      </c>
      <c r="T179" s="193" t="str">
        <f t="shared" si="44"/>
        <v/>
      </c>
      <c r="U179" s="175" t="str">
        <f t="shared" si="51"/>
        <v> </v>
      </c>
      <c r="V179" s="175" t="str">
        <f t="shared" si="50"/>
        <v/>
      </c>
      <c r="W179" s="175" t="str">
        <f t="shared" si="45"/>
        <v/>
      </c>
      <c r="X179" s="175" t="str">
        <f t="shared" si="46"/>
        <v/>
      </c>
      <c r="Y179" s="195" t="str">
        <f t="shared" si="49"/>
        <v/>
      </c>
      <c r="Z179" s="195" t="str">
        <f t="shared" si="40"/>
        <v/>
      </c>
      <c r="AA179" s="195" t="str">
        <f t="shared" si="41"/>
        <v/>
      </c>
      <c r="AC179" s="196" t="str">
        <f t="shared" si="47"/>
        <v/>
      </c>
    </row>
    <row r="180" hidden="1" spans="1:29">
      <c r="A180" s="181">
        <v>179</v>
      </c>
      <c r="B180" s="181" t="s">
        <v>380</v>
      </c>
      <c r="C180" s="181" t="s">
        <v>223</v>
      </c>
      <c r="D180" s="181" t="s">
        <v>381</v>
      </c>
      <c r="E180" s="206">
        <v>4.3</v>
      </c>
      <c r="F180" s="206">
        <v>4.3</v>
      </c>
      <c r="G180" s="206">
        <v>0</v>
      </c>
      <c r="H180" s="206">
        <v>0</v>
      </c>
      <c r="I180" s="185" t="str">
        <f t="shared" si="42"/>
        <v>完工</v>
      </c>
      <c r="J180" s="208">
        <v>4.3</v>
      </c>
      <c r="K180" s="209" t="str">
        <f t="shared" si="43"/>
        <v/>
      </c>
      <c r="L180" s="186"/>
      <c r="M180" s="210">
        <v>44440</v>
      </c>
      <c r="N180" s="210">
        <v>44499</v>
      </c>
      <c r="O180" s="181" t="s">
        <v>225</v>
      </c>
      <c r="P180" s="181" t="s">
        <v>39</v>
      </c>
      <c r="Q180" s="181"/>
      <c r="R180" s="186"/>
      <c r="S180" s="193">
        <f t="shared" si="39"/>
        <v>0</v>
      </c>
      <c r="T180" s="193" t="str">
        <f t="shared" si="44"/>
        <v/>
      </c>
      <c r="U180" s="175" t="str">
        <f t="shared" si="51"/>
        <v> </v>
      </c>
      <c r="V180" s="175" t="str">
        <f t="shared" si="50"/>
        <v/>
      </c>
      <c r="W180" s="175" t="str">
        <f t="shared" si="45"/>
        <v/>
      </c>
      <c r="X180" s="175" t="str">
        <f t="shared" si="46"/>
        <v/>
      </c>
      <c r="Y180" s="195" t="str">
        <f t="shared" si="49"/>
        <v/>
      </c>
      <c r="Z180" s="195" t="str">
        <f t="shared" si="40"/>
        <v/>
      </c>
      <c r="AA180" s="195" t="str">
        <f t="shared" si="41"/>
        <v/>
      </c>
      <c r="AC180" s="196" t="str">
        <f t="shared" si="47"/>
        <v/>
      </c>
    </row>
    <row r="181" hidden="1" spans="1:29">
      <c r="A181" s="181">
        <v>180</v>
      </c>
      <c r="B181" s="181" t="s">
        <v>382</v>
      </c>
      <c r="C181" s="181" t="s">
        <v>223</v>
      </c>
      <c r="D181" s="181" t="s">
        <v>383</v>
      </c>
      <c r="E181" s="206">
        <v>10</v>
      </c>
      <c r="F181" s="206">
        <v>10</v>
      </c>
      <c r="G181" s="206">
        <v>0</v>
      </c>
      <c r="H181" s="206">
        <v>0</v>
      </c>
      <c r="I181" s="185" t="str">
        <f t="shared" si="42"/>
        <v>完工</v>
      </c>
      <c r="J181" s="208">
        <v>10</v>
      </c>
      <c r="K181" s="209" t="str">
        <f t="shared" si="43"/>
        <v/>
      </c>
      <c r="L181" s="186"/>
      <c r="M181" s="210">
        <v>44440</v>
      </c>
      <c r="N181" s="210">
        <v>44499</v>
      </c>
      <c r="O181" s="181" t="s">
        <v>225</v>
      </c>
      <c r="P181" s="181" t="s">
        <v>39</v>
      </c>
      <c r="Q181" s="181"/>
      <c r="R181" s="186"/>
      <c r="S181" s="193">
        <f t="shared" si="39"/>
        <v>0</v>
      </c>
      <c r="T181" s="193" t="str">
        <f t="shared" si="44"/>
        <v/>
      </c>
      <c r="U181" s="175" t="str">
        <f t="shared" si="51"/>
        <v> </v>
      </c>
      <c r="V181" s="175" t="str">
        <f t="shared" si="50"/>
        <v/>
      </c>
      <c r="W181" s="175" t="str">
        <f t="shared" si="45"/>
        <v/>
      </c>
      <c r="X181" s="175" t="str">
        <f t="shared" si="46"/>
        <v/>
      </c>
      <c r="Y181" s="195" t="str">
        <f t="shared" si="49"/>
        <v/>
      </c>
      <c r="Z181" s="195" t="str">
        <f t="shared" si="40"/>
        <v/>
      </c>
      <c r="AA181" s="195" t="str">
        <f t="shared" si="41"/>
        <v/>
      </c>
      <c r="AC181" s="196" t="str">
        <f t="shared" si="47"/>
        <v/>
      </c>
    </row>
    <row r="182" hidden="1" spans="1:29">
      <c r="A182" s="181">
        <v>181</v>
      </c>
      <c r="B182" s="181" t="s">
        <v>384</v>
      </c>
      <c r="C182" s="181" t="s">
        <v>223</v>
      </c>
      <c r="D182" s="181" t="s">
        <v>385</v>
      </c>
      <c r="E182" s="206">
        <v>10</v>
      </c>
      <c r="F182" s="206">
        <v>10</v>
      </c>
      <c r="G182" s="206">
        <v>0</v>
      </c>
      <c r="H182" s="206">
        <v>0</v>
      </c>
      <c r="I182" s="185" t="str">
        <f t="shared" si="42"/>
        <v>完工</v>
      </c>
      <c r="J182" s="208">
        <v>10</v>
      </c>
      <c r="K182" s="209" t="str">
        <f t="shared" si="43"/>
        <v/>
      </c>
      <c r="L182" s="186"/>
      <c r="M182" s="210">
        <v>44440</v>
      </c>
      <c r="N182" s="210">
        <v>44499</v>
      </c>
      <c r="O182" s="181" t="s">
        <v>225</v>
      </c>
      <c r="P182" s="181" t="s">
        <v>39</v>
      </c>
      <c r="Q182" s="181"/>
      <c r="R182" s="186"/>
      <c r="S182" s="193">
        <f t="shared" si="39"/>
        <v>0</v>
      </c>
      <c r="T182" s="193" t="str">
        <f t="shared" si="44"/>
        <v/>
      </c>
      <c r="U182" s="175" t="str">
        <f t="shared" si="51"/>
        <v> </v>
      </c>
      <c r="V182" s="175" t="str">
        <f t="shared" si="50"/>
        <v/>
      </c>
      <c r="W182" s="175" t="str">
        <f t="shared" si="45"/>
        <v/>
      </c>
      <c r="X182" s="175" t="str">
        <f t="shared" si="46"/>
        <v/>
      </c>
      <c r="Y182" s="195" t="str">
        <f t="shared" si="49"/>
        <v/>
      </c>
      <c r="Z182" s="195" t="str">
        <f t="shared" si="40"/>
        <v/>
      </c>
      <c r="AA182" s="195" t="str">
        <f t="shared" si="41"/>
        <v/>
      </c>
      <c r="AC182" s="196" t="str">
        <f t="shared" si="47"/>
        <v/>
      </c>
    </row>
    <row r="183" hidden="1" spans="1:29">
      <c r="A183" s="181">
        <v>182</v>
      </c>
      <c r="B183" s="181" t="s">
        <v>386</v>
      </c>
      <c r="C183" s="181" t="s">
        <v>223</v>
      </c>
      <c r="D183" s="181" t="s">
        <v>387</v>
      </c>
      <c r="E183" s="206">
        <v>5</v>
      </c>
      <c r="F183" s="206">
        <v>5</v>
      </c>
      <c r="G183" s="206">
        <v>0</v>
      </c>
      <c r="H183" s="206">
        <v>0</v>
      </c>
      <c r="I183" s="185" t="str">
        <f t="shared" si="42"/>
        <v>完工</v>
      </c>
      <c r="J183" s="208">
        <v>5</v>
      </c>
      <c r="K183" s="209" t="str">
        <f t="shared" si="43"/>
        <v/>
      </c>
      <c r="L183" s="186"/>
      <c r="M183" s="210">
        <v>44440</v>
      </c>
      <c r="N183" s="210">
        <v>44499</v>
      </c>
      <c r="O183" s="181" t="s">
        <v>225</v>
      </c>
      <c r="P183" s="181" t="s">
        <v>39</v>
      </c>
      <c r="Q183" s="181"/>
      <c r="R183" s="186"/>
      <c r="S183" s="193">
        <f t="shared" si="39"/>
        <v>0</v>
      </c>
      <c r="T183" s="193" t="str">
        <f t="shared" si="44"/>
        <v/>
      </c>
      <c r="U183" s="175" t="str">
        <f t="shared" si="51"/>
        <v> </v>
      </c>
      <c r="V183" s="175" t="str">
        <f t="shared" si="50"/>
        <v/>
      </c>
      <c r="W183" s="175" t="str">
        <f t="shared" si="45"/>
        <v/>
      </c>
      <c r="X183" s="175" t="str">
        <f t="shared" si="46"/>
        <v/>
      </c>
      <c r="Y183" s="195" t="str">
        <f t="shared" si="49"/>
        <v/>
      </c>
      <c r="Z183" s="195" t="str">
        <f t="shared" si="40"/>
        <v/>
      </c>
      <c r="AA183" s="195" t="str">
        <f t="shared" si="41"/>
        <v/>
      </c>
      <c r="AC183" s="196" t="str">
        <f t="shared" si="47"/>
        <v/>
      </c>
    </row>
    <row r="184" hidden="1" spans="1:29">
      <c r="A184" s="181">
        <v>183</v>
      </c>
      <c r="B184" s="181" t="s">
        <v>388</v>
      </c>
      <c r="C184" s="181" t="s">
        <v>223</v>
      </c>
      <c r="D184" s="181" t="s">
        <v>389</v>
      </c>
      <c r="E184" s="206">
        <v>2</v>
      </c>
      <c r="F184" s="206">
        <v>2</v>
      </c>
      <c r="G184" s="206">
        <v>0</v>
      </c>
      <c r="H184" s="206">
        <v>0</v>
      </c>
      <c r="I184" s="185" t="str">
        <f t="shared" si="42"/>
        <v>完工</v>
      </c>
      <c r="J184" s="208">
        <v>2</v>
      </c>
      <c r="K184" s="209" t="str">
        <f t="shared" si="43"/>
        <v/>
      </c>
      <c r="L184" s="186"/>
      <c r="M184" s="210">
        <v>44440</v>
      </c>
      <c r="N184" s="210">
        <v>44499</v>
      </c>
      <c r="O184" s="181" t="s">
        <v>225</v>
      </c>
      <c r="P184" s="181" t="s">
        <v>39</v>
      </c>
      <c r="Q184" s="181"/>
      <c r="R184" s="186"/>
      <c r="S184" s="193">
        <f t="shared" si="39"/>
        <v>0</v>
      </c>
      <c r="T184" s="193" t="str">
        <f t="shared" si="44"/>
        <v/>
      </c>
      <c r="U184" s="175" t="str">
        <f t="shared" si="51"/>
        <v> </v>
      </c>
      <c r="V184" s="175" t="str">
        <f t="shared" si="50"/>
        <v/>
      </c>
      <c r="W184" s="175" t="str">
        <f t="shared" si="45"/>
        <v/>
      </c>
      <c r="X184" s="175" t="str">
        <f t="shared" si="46"/>
        <v/>
      </c>
      <c r="Y184" s="195" t="str">
        <f t="shared" si="49"/>
        <v/>
      </c>
      <c r="Z184" s="195" t="str">
        <f t="shared" si="40"/>
        <v/>
      </c>
      <c r="AA184" s="195" t="str">
        <f t="shared" si="41"/>
        <v/>
      </c>
      <c r="AC184" s="196" t="str">
        <f t="shared" si="47"/>
        <v/>
      </c>
    </row>
    <row r="185" hidden="1" spans="1:29">
      <c r="A185" s="181">
        <v>184</v>
      </c>
      <c r="B185" s="181" t="s">
        <v>390</v>
      </c>
      <c r="C185" s="181" t="s">
        <v>223</v>
      </c>
      <c r="D185" s="181" t="s">
        <v>391</v>
      </c>
      <c r="E185" s="206">
        <v>6</v>
      </c>
      <c r="F185" s="206">
        <v>6</v>
      </c>
      <c r="G185" s="206">
        <v>0</v>
      </c>
      <c r="H185" s="206">
        <v>0</v>
      </c>
      <c r="I185" s="185" t="str">
        <f t="shared" si="42"/>
        <v>完工</v>
      </c>
      <c r="J185" s="208">
        <v>6</v>
      </c>
      <c r="K185" s="209" t="str">
        <f t="shared" si="43"/>
        <v/>
      </c>
      <c r="L185" s="186"/>
      <c r="M185" s="210">
        <v>44440</v>
      </c>
      <c r="N185" s="210">
        <v>44499</v>
      </c>
      <c r="O185" s="181" t="s">
        <v>225</v>
      </c>
      <c r="P185" s="181" t="s">
        <v>39</v>
      </c>
      <c r="Q185" s="181"/>
      <c r="R185" s="186"/>
      <c r="S185" s="193">
        <f t="shared" si="39"/>
        <v>0</v>
      </c>
      <c r="T185" s="193" t="str">
        <f t="shared" si="44"/>
        <v/>
      </c>
      <c r="U185" s="175" t="str">
        <f t="shared" si="51"/>
        <v> </v>
      </c>
      <c r="V185" s="175" t="str">
        <f t="shared" si="50"/>
        <v/>
      </c>
      <c r="W185" s="175" t="str">
        <f t="shared" si="45"/>
        <v/>
      </c>
      <c r="X185" s="175" t="str">
        <f t="shared" si="46"/>
        <v/>
      </c>
      <c r="Y185" s="195" t="str">
        <f t="shared" si="49"/>
        <v/>
      </c>
      <c r="Z185" s="195" t="str">
        <f t="shared" si="40"/>
        <v/>
      </c>
      <c r="AA185" s="195" t="str">
        <f t="shared" si="41"/>
        <v/>
      </c>
      <c r="AC185" s="196" t="str">
        <f t="shared" si="47"/>
        <v/>
      </c>
    </row>
    <row r="186" hidden="1" spans="1:29">
      <c r="A186" s="181">
        <v>185</v>
      </c>
      <c r="B186" s="181" t="s">
        <v>392</v>
      </c>
      <c r="C186" s="181" t="s">
        <v>223</v>
      </c>
      <c r="D186" s="181" t="s">
        <v>393</v>
      </c>
      <c r="E186" s="206">
        <v>183.5</v>
      </c>
      <c r="F186" s="206">
        <v>2</v>
      </c>
      <c r="G186" s="206">
        <v>181.5</v>
      </c>
      <c r="H186" s="206">
        <v>0</v>
      </c>
      <c r="I186" s="185" t="str">
        <f t="shared" si="42"/>
        <v>完工</v>
      </c>
      <c r="J186" s="208">
        <v>183.5</v>
      </c>
      <c r="K186" s="209">
        <f t="shared" si="43"/>
        <v>181.5</v>
      </c>
      <c r="L186" s="186" t="s">
        <v>394</v>
      </c>
      <c r="M186" s="210">
        <v>44440</v>
      </c>
      <c r="N186" s="210">
        <v>44742</v>
      </c>
      <c r="O186" s="181" t="s">
        <v>225</v>
      </c>
      <c r="P186" s="181" t="s">
        <v>39</v>
      </c>
      <c r="Q186" s="181"/>
      <c r="R186" s="186"/>
      <c r="S186" s="193">
        <f t="shared" si="39"/>
        <v>0</v>
      </c>
      <c r="T186" s="193" t="str">
        <f t="shared" si="44"/>
        <v/>
      </c>
      <c r="U186" s="175" t="str">
        <f t="shared" si="51"/>
        <v> </v>
      </c>
      <c r="V186" s="175" t="str">
        <f>IF(I186="完工","",6)</f>
        <v/>
      </c>
      <c r="W186" s="175" t="str">
        <f t="shared" si="45"/>
        <v/>
      </c>
      <c r="X186" s="175" t="str">
        <f t="shared" si="46"/>
        <v/>
      </c>
      <c r="Y186" s="195" t="str">
        <f t="shared" si="49"/>
        <v/>
      </c>
      <c r="Z186" s="195" t="str">
        <f t="shared" si="40"/>
        <v/>
      </c>
      <c r="AA186" s="195" t="str">
        <f t="shared" si="41"/>
        <v/>
      </c>
      <c r="AC186" s="196" t="str">
        <f t="shared" si="47"/>
        <v/>
      </c>
    </row>
    <row r="187" hidden="1" spans="1:29">
      <c r="A187" s="181">
        <v>186</v>
      </c>
      <c r="B187" s="181" t="s">
        <v>395</v>
      </c>
      <c r="C187" s="181" t="s">
        <v>223</v>
      </c>
      <c r="D187" s="181" t="s">
        <v>396</v>
      </c>
      <c r="E187" s="206">
        <v>229.021</v>
      </c>
      <c r="F187" s="206">
        <v>20</v>
      </c>
      <c r="G187" s="206">
        <v>209.021</v>
      </c>
      <c r="H187" s="206">
        <v>0</v>
      </c>
      <c r="I187" s="185" t="str">
        <f t="shared" si="42"/>
        <v>完工</v>
      </c>
      <c r="J187" s="208">
        <v>229.021</v>
      </c>
      <c r="K187" s="209">
        <f t="shared" si="43"/>
        <v>209.021</v>
      </c>
      <c r="L187" s="186" t="s">
        <v>394</v>
      </c>
      <c r="M187" s="210">
        <v>44440</v>
      </c>
      <c r="N187" s="210">
        <v>44742</v>
      </c>
      <c r="O187" s="181" t="s">
        <v>225</v>
      </c>
      <c r="P187" s="181" t="s">
        <v>39</v>
      </c>
      <c r="Q187" s="181"/>
      <c r="R187" s="186"/>
      <c r="S187" s="193">
        <f t="shared" si="39"/>
        <v>0</v>
      </c>
      <c r="T187" s="193" t="str">
        <f t="shared" si="44"/>
        <v/>
      </c>
      <c r="U187" s="175" t="str">
        <f t="shared" si="51"/>
        <v> </v>
      </c>
      <c r="V187" s="175" t="str">
        <f>IF(I187="完工","",6)</f>
        <v/>
      </c>
      <c r="W187" s="175" t="str">
        <f t="shared" si="45"/>
        <v/>
      </c>
      <c r="X187" s="175" t="str">
        <f t="shared" si="46"/>
        <v/>
      </c>
      <c r="Y187" s="195" t="str">
        <f t="shared" si="49"/>
        <v/>
      </c>
      <c r="Z187" s="195" t="str">
        <f t="shared" si="40"/>
        <v/>
      </c>
      <c r="AA187" s="195" t="str">
        <f t="shared" si="41"/>
        <v/>
      </c>
      <c r="AC187" s="196" t="str">
        <f t="shared" si="47"/>
        <v/>
      </c>
    </row>
    <row r="188" hidden="1" spans="1:29">
      <c r="A188" s="181">
        <v>187</v>
      </c>
      <c r="B188" s="181" t="s">
        <v>397</v>
      </c>
      <c r="C188" s="181" t="s">
        <v>223</v>
      </c>
      <c r="D188" s="181" t="s">
        <v>398</v>
      </c>
      <c r="E188" s="206">
        <v>5</v>
      </c>
      <c r="F188" s="206">
        <v>5</v>
      </c>
      <c r="G188" s="206">
        <v>0</v>
      </c>
      <c r="H188" s="206">
        <v>0</v>
      </c>
      <c r="I188" s="185" t="str">
        <f t="shared" si="42"/>
        <v>完工</v>
      </c>
      <c r="J188" s="208">
        <v>5</v>
      </c>
      <c r="K188" s="209" t="str">
        <f t="shared" si="43"/>
        <v/>
      </c>
      <c r="L188" s="186"/>
      <c r="M188" s="210">
        <v>44440</v>
      </c>
      <c r="N188" s="210">
        <v>44499</v>
      </c>
      <c r="O188" s="181" t="s">
        <v>225</v>
      </c>
      <c r="P188" s="181" t="s">
        <v>39</v>
      </c>
      <c r="Q188" s="181"/>
      <c r="R188" s="186"/>
      <c r="S188" s="193">
        <f t="shared" si="39"/>
        <v>0</v>
      </c>
      <c r="T188" s="193" t="str">
        <f t="shared" si="44"/>
        <v/>
      </c>
      <c r="U188" s="175" t="str">
        <f t="shared" si="51"/>
        <v> </v>
      </c>
      <c r="V188" s="175" t="str">
        <f t="shared" si="50"/>
        <v/>
      </c>
      <c r="W188" s="175" t="str">
        <f t="shared" si="45"/>
        <v/>
      </c>
      <c r="X188" s="175" t="str">
        <f t="shared" si="46"/>
        <v/>
      </c>
      <c r="Y188" s="195" t="str">
        <f t="shared" si="49"/>
        <v/>
      </c>
      <c r="Z188" s="195" t="str">
        <f t="shared" si="40"/>
        <v/>
      </c>
      <c r="AA188" s="195" t="str">
        <f t="shared" si="41"/>
        <v/>
      </c>
      <c r="AC188" s="196" t="str">
        <f t="shared" si="47"/>
        <v/>
      </c>
    </row>
    <row r="189" hidden="1" spans="1:29">
      <c r="A189" s="181">
        <v>188</v>
      </c>
      <c r="B189" s="181" t="s">
        <v>399</v>
      </c>
      <c r="C189" s="181" t="s">
        <v>223</v>
      </c>
      <c r="D189" s="181" t="s">
        <v>400</v>
      </c>
      <c r="E189" s="206">
        <v>59</v>
      </c>
      <c r="F189" s="206">
        <v>59</v>
      </c>
      <c r="G189" s="206">
        <v>0</v>
      </c>
      <c r="H189" s="206">
        <v>0</v>
      </c>
      <c r="I189" s="185" t="str">
        <f t="shared" si="42"/>
        <v>完工</v>
      </c>
      <c r="J189" s="208">
        <v>59</v>
      </c>
      <c r="K189" s="209" t="str">
        <f t="shared" si="43"/>
        <v/>
      </c>
      <c r="L189" s="186"/>
      <c r="M189" s="210">
        <v>44440</v>
      </c>
      <c r="N189" s="210">
        <v>44499</v>
      </c>
      <c r="O189" s="181" t="s">
        <v>225</v>
      </c>
      <c r="P189" s="181" t="s">
        <v>39</v>
      </c>
      <c r="Q189" s="181"/>
      <c r="R189" s="186"/>
      <c r="S189" s="193">
        <f t="shared" si="39"/>
        <v>0</v>
      </c>
      <c r="T189" s="193" t="str">
        <f t="shared" si="44"/>
        <v/>
      </c>
      <c r="U189" s="175" t="str">
        <f t="shared" si="51"/>
        <v> </v>
      </c>
      <c r="V189" s="175" t="str">
        <f t="shared" si="50"/>
        <v/>
      </c>
      <c r="W189" s="175" t="str">
        <f t="shared" si="45"/>
        <v/>
      </c>
      <c r="X189" s="175" t="str">
        <f t="shared" si="46"/>
        <v/>
      </c>
      <c r="Y189" s="195" t="str">
        <f t="shared" si="49"/>
        <v/>
      </c>
      <c r="Z189" s="195" t="str">
        <f t="shared" si="40"/>
        <v/>
      </c>
      <c r="AA189" s="195" t="str">
        <f t="shared" si="41"/>
        <v/>
      </c>
      <c r="AC189" s="196" t="str">
        <f t="shared" si="47"/>
        <v/>
      </c>
    </row>
    <row r="190" hidden="1" spans="1:29">
      <c r="A190" s="181">
        <v>189</v>
      </c>
      <c r="B190" s="181" t="s">
        <v>401</v>
      </c>
      <c r="C190" s="181" t="s">
        <v>223</v>
      </c>
      <c r="D190" s="181" t="s">
        <v>402</v>
      </c>
      <c r="E190" s="206">
        <v>2</v>
      </c>
      <c r="F190" s="206">
        <v>2</v>
      </c>
      <c r="G190" s="206">
        <v>0</v>
      </c>
      <c r="H190" s="206">
        <v>0</v>
      </c>
      <c r="I190" s="185" t="str">
        <f t="shared" si="42"/>
        <v>完工</v>
      </c>
      <c r="J190" s="208">
        <v>2</v>
      </c>
      <c r="K190" s="209" t="str">
        <f t="shared" si="43"/>
        <v/>
      </c>
      <c r="L190" s="186"/>
      <c r="M190" s="210">
        <v>44440</v>
      </c>
      <c r="N190" s="210">
        <v>44499</v>
      </c>
      <c r="O190" s="181" t="s">
        <v>225</v>
      </c>
      <c r="P190" s="181" t="s">
        <v>39</v>
      </c>
      <c r="Q190" s="181"/>
      <c r="R190" s="186"/>
      <c r="S190" s="193">
        <f t="shared" si="39"/>
        <v>0</v>
      </c>
      <c r="T190" s="193" t="str">
        <f t="shared" si="44"/>
        <v/>
      </c>
      <c r="U190" s="175" t="str">
        <f t="shared" si="51"/>
        <v> </v>
      </c>
      <c r="V190" s="175" t="str">
        <f t="shared" si="50"/>
        <v/>
      </c>
      <c r="W190" s="175" t="str">
        <f t="shared" si="45"/>
        <v/>
      </c>
      <c r="X190" s="175" t="str">
        <f t="shared" si="46"/>
        <v/>
      </c>
      <c r="Y190" s="195" t="str">
        <f t="shared" si="49"/>
        <v/>
      </c>
      <c r="Z190" s="195" t="str">
        <f t="shared" si="40"/>
        <v/>
      </c>
      <c r="AA190" s="195" t="str">
        <f t="shared" si="41"/>
        <v/>
      </c>
      <c r="AC190" s="196" t="str">
        <f t="shared" si="47"/>
        <v/>
      </c>
    </row>
    <row r="191" hidden="1" spans="1:29">
      <c r="A191" s="181">
        <v>190</v>
      </c>
      <c r="B191" s="181" t="s">
        <v>403</v>
      </c>
      <c r="C191" s="181" t="s">
        <v>223</v>
      </c>
      <c r="D191" s="181" t="s">
        <v>404</v>
      </c>
      <c r="E191" s="206">
        <v>5</v>
      </c>
      <c r="F191" s="206">
        <v>5</v>
      </c>
      <c r="G191" s="206">
        <v>0</v>
      </c>
      <c r="H191" s="206">
        <v>0</v>
      </c>
      <c r="I191" s="185" t="str">
        <f t="shared" si="42"/>
        <v>完工</v>
      </c>
      <c r="J191" s="208">
        <v>5</v>
      </c>
      <c r="K191" s="209" t="str">
        <f t="shared" si="43"/>
        <v/>
      </c>
      <c r="L191" s="186"/>
      <c r="M191" s="210">
        <v>44440</v>
      </c>
      <c r="N191" s="210">
        <v>44499</v>
      </c>
      <c r="O191" s="181" t="s">
        <v>225</v>
      </c>
      <c r="P191" s="181" t="s">
        <v>39</v>
      </c>
      <c r="Q191" s="181"/>
      <c r="R191" s="186"/>
      <c r="S191" s="193">
        <f t="shared" si="39"/>
        <v>0</v>
      </c>
      <c r="T191" s="193" t="str">
        <f t="shared" si="44"/>
        <v/>
      </c>
      <c r="U191" s="175" t="str">
        <f t="shared" si="51"/>
        <v> </v>
      </c>
      <c r="V191" s="175" t="str">
        <f t="shared" si="50"/>
        <v/>
      </c>
      <c r="W191" s="175" t="str">
        <f t="shared" si="45"/>
        <v/>
      </c>
      <c r="X191" s="175" t="str">
        <f t="shared" si="46"/>
        <v/>
      </c>
      <c r="Y191" s="195" t="str">
        <f t="shared" si="49"/>
        <v/>
      </c>
      <c r="Z191" s="195" t="str">
        <f t="shared" si="40"/>
        <v/>
      </c>
      <c r="AA191" s="195" t="str">
        <f t="shared" si="41"/>
        <v/>
      </c>
      <c r="AC191" s="196" t="str">
        <f t="shared" si="47"/>
        <v/>
      </c>
    </row>
    <row r="192" hidden="1" spans="1:29">
      <c r="A192" s="181">
        <v>191</v>
      </c>
      <c r="B192" s="181" t="s">
        <v>405</v>
      </c>
      <c r="C192" s="181" t="s">
        <v>223</v>
      </c>
      <c r="D192" s="181" t="s">
        <v>406</v>
      </c>
      <c r="E192" s="206">
        <v>10.1</v>
      </c>
      <c r="F192" s="206">
        <v>10.1</v>
      </c>
      <c r="G192" s="206">
        <v>0</v>
      </c>
      <c r="H192" s="206">
        <v>0</v>
      </c>
      <c r="I192" s="185" t="str">
        <f t="shared" si="42"/>
        <v>完工</v>
      </c>
      <c r="J192" s="208">
        <v>10.1</v>
      </c>
      <c r="K192" s="209" t="str">
        <f t="shared" si="43"/>
        <v/>
      </c>
      <c r="L192" s="186"/>
      <c r="M192" s="210">
        <v>44440</v>
      </c>
      <c r="N192" s="210">
        <v>44499</v>
      </c>
      <c r="O192" s="181" t="s">
        <v>225</v>
      </c>
      <c r="P192" s="181" t="s">
        <v>39</v>
      </c>
      <c r="Q192" s="181"/>
      <c r="R192" s="186"/>
      <c r="S192" s="193">
        <f t="shared" si="39"/>
        <v>0</v>
      </c>
      <c r="T192" s="193" t="str">
        <f t="shared" si="44"/>
        <v/>
      </c>
      <c r="U192" s="175" t="str">
        <f t="shared" si="51"/>
        <v> </v>
      </c>
      <c r="V192" s="175" t="str">
        <f t="shared" si="50"/>
        <v/>
      </c>
      <c r="W192" s="175" t="str">
        <f t="shared" si="45"/>
        <v/>
      </c>
      <c r="X192" s="175" t="str">
        <f t="shared" si="46"/>
        <v/>
      </c>
      <c r="Y192" s="195" t="str">
        <f t="shared" si="49"/>
        <v/>
      </c>
      <c r="Z192" s="195" t="str">
        <f t="shared" si="40"/>
        <v/>
      </c>
      <c r="AA192" s="195" t="str">
        <f t="shared" si="41"/>
        <v/>
      </c>
      <c r="AC192" s="196" t="str">
        <f t="shared" si="47"/>
        <v/>
      </c>
    </row>
    <row r="193" hidden="1" spans="1:29">
      <c r="A193" s="181">
        <v>192</v>
      </c>
      <c r="B193" s="181" t="s">
        <v>407</v>
      </c>
      <c r="C193" s="181" t="s">
        <v>223</v>
      </c>
      <c r="D193" s="181" t="s">
        <v>408</v>
      </c>
      <c r="E193" s="206">
        <v>24.7</v>
      </c>
      <c r="F193" s="206">
        <v>24.7</v>
      </c>
      <c r="G193" s="206">
        <v>0</v>
      </c>
      <c r="H193" s="206">
        <v>0</v>
      </c>
      <c r="I193" s="185" t="str">
        <f t="shared" si="42"/>
        <v>完工</v>
      </c>
      <c r="J193" s="208">
        <v>24.7</v>
      </c>
      <c r="K193" s="209" t="str">
        <f t="shared" si="43"/>
        <v/>
      </c>
      <c r="L193" s="186"/>
      <c r="M193" s="210">
        <v>44440</v>
      </c>
      <c r="N193" s="210">
        <v>44499</v>
      </c>
      <c r="O193" s="181" t="s">
        <v>225</v>
      </c>
      <c r="P193" s="181" t="s">
        <v>39</v>
      </c>
      <c r="Q193" s="181"/>
      <c r="R193" s="186"/>
      <c r="S193" s="193">
        <f t="shared" si="39"/>
        <v>0</v>
      </c>
      <c r="T193" s="193" t="str">
        <f t="shared" si="44"/>
        <v/>
      </c>
      <c r="U193" s="175" t="str">
        <f t="shared" si="51"/>
        <v> </v>
      </c>
      <c r="V193" s="175" t="str">
        <f t="shared" si="50"/>
        <v/>
      </c>
      <c r="W193" s="175" t="str">
        <f t="shared" si="45"/>
        <v/>
      </c>
      <c r="X193" s="175" t="str">
        <f t="shared" si="46"/>
        <v/>
      </c>
      <c r="Y193" s="195" t="str">
        <f t="shared" si="49"/>
        <v/>
      </c>
      <c r="Z193" s="195" t="str">
        <f t="shared" si="40"/>
        <v/>
      </c>
      <c r="AA193" s="195" t="str">
        <f t="shared" si="41"/>
        <v/>
      </c>
      <c r="AC193" s="196" t="str">
        <f t="shared" si="47"/>
        <v/>
      </c>
    </row>
    <row r="194" hidden="1" spans="1:29">
      <c r="A194" s="181">
        <v>193</v>
      </c>
      <c r="B194" s="181" t="s">
        <v>409</v>
      </c>
      <c r="C194" s="181" t="s">
        <v>223</v>
      </c>
      <c r="D194" s="181" t="s">
        <v>410</v>
      </c>
      <c r="E194" s="206">
        <v>24.15</v>
      </c>
      <c r="F194" s="206">
        <v>24.15</v>
      </c>
      <c r="G194" s="206">
        <v>0</v>
      </c>
      <c r="H194" s="206">
        <v>0</v>
      </c>
      <c r="I194" s="185" t="str">
        <f t="shared" si="42"/>
        <v>完工</v>
      </c>
      <c r="J194" s="208">
        <v>24.15</v>
      </c>
      <c r="K194" s="209" t="str">
        <f t="shared" si="43"/>
        <v/>
      </c>
      <c r="L194" s="186"/>
      <c r="M194" s="210">
        <v>44440</v>
      </c>
      <c r="N194" s="210">
        <v>44499</v>
      </c>
      <c r="O194" s="181" t="s">
        <v>225</v>
      </c>
      <c r="P194" s="181" t="s">
        <v>39</v>
      </c>
      <c r="Q194" s="181"/>
      <c r="R194" s="186"/>
      <c r="S194" s="193">
        <f t="shared" ref="S194:S245" si="52">E194-F194-G194-H194</f>
        <v>0</v>
      </c>
      <c r="T194" s="193" t="str">
        <f t="shared" si="44"/>
        <v/>
      </c>
      <c r="U194" s="175" t="str">
        <f t="shared" si="51"/>
        <v> </v>
      </c>
      <c r="V194" s="175" t="str">
        <f t="shared" si="50"/>
        <v/>
      </c>
      <c r="W194" s="175" t="str">
        <f t="shared" si="45"/>
        <v/>
      </c>
      <c r="X194" s="175" t="str">
        <f t="shared" si="46"/>
        <v/>
      </c>
      <c r="Y194" s="195" t="str">
        <f t="shared" si="49"/>
        <v/>
      </c>
      <c r="Z194" s="195" t="str">
        <f t="shared" ref="Z194:Z254" si="53">IF(I194="完工","",ROUND(K194/G194,3))</f>
        <v/>
      </c>
      <c r="AA194" s="195" t="str">
        <f t="shared" ref="AA194:AA254" si="54">IF(I194="完工","",Z194-Y194)</f>
        <v/>
      </c>
      <c r="AC194" s="196" t="str">
        <f t="shared" si="47"/>
        <v/>
      </c>
    </row>
    <row r="195" hidden="1" spans="1:29">
      <c r="A195" s="181">
        <v>194</v>
      </c>
      <c r="B195" s="181" t="s">
        <v>411</v>
      </c>
      <c r="C195" s="181" t="s">
        <v>223</v>
      </c>
      <c r="D195" s="181"/>
      <c r="E195" s="206">
        <v>8</v>
      </c>
      <c r="F195" s="206">
        <v>8</v>
      </c>
      <c r="G195" s="206">
        <v>0</v>
      </c>
      <c r="H195" s="206">
        <v>0</v>
      </c>
      <c r="I195" s="185" t="str">
        <f t="shared" ref="I195:I254" si="55">IF(E195=0,"完工",IF(J195&gt;0,IF(J195=E195,"完工","在建"),"未开工"))</f>
        <v>完工</v>
      </c>
      <c r="J195" s="208">
        <v>8</v>
      </c>
      <c r="K195" s="209" t="str">
        <f t="shared" ref="K195:K254" si="56">IF(G195=0,"",J195-F195)</f>
        <v/>
      </c>
      <c r="L195" s="186"/>
      <c r="M195" s="210"/>
      <c r="N195" s="210"/>
      <c r="O195" s="181" t="s">
        <v>225</v>
      </c>
      <c r="P195" s="181" t="s">
        <v>33</v>
      </c>
      <c r="Q195" s="181"/>
      <c r="R195" s="186"/>
      <c r="S195" s="193">
        <f t="shared" si="52"/>
        <v>0</v>
      </c>
      <c r="T195" s="193" t="str">
        <f t="shared" ref="T195:T254" si="57">IF(I195="完工","",J195-F195-K195)</f>
        <v/>
      </c>
      <c r="U195" s="175" t="str">
        <f t="shared" si="51"/>
        <v> </v>
      </c>
      <c r="V195" s="175">
        <v>0</v>
      </c>
      <c r="W195" s="175" t="str">
        <f t="shared" ref="W195:W254" si="58">IF(I195="完工","",12-U195-V195)</f>
        <v/>
      </c>
      <c r="X195" s="175" t="str">
        <f t="shared" ref="X195:X254" si="59">IF(I195="完工","",$AB$2-U195)</f>
        <v/>
      </c>
      <c r="Y195" s="195" t="str">
        <f t="shared" si="49"/>
        <v/>
      </c>
      <c r="Z195" s="195" t="str">
        <f t="shared" si="53"/>
        <v/>
      </c>
      <c r="AA195" s="195" t="str">
        <f t="shared" si="54"/>
        <v/>
      </c>
      <c r="AC195" s="196" t="str">
        <f t="shared" ref="AC195:AC254" si="60">IF(E195=0,"",IF(ROUND(J195/E195,3)=1,"",ROUND(J195/E195,3)))</f>
        <v/>
      </c>
    </row>
    <row r="196" hidden="1" spans="1:29">
      <c r="A196" s="181">
        <v>195</v>
      </c>
      <c r="B196" s="181" t="s">
        <v>412</v>
      </c>
      <c r="C196" s="181" t="s">
        <v>413</v>
      </c>
      <c r="D196" s="181" t="s">
        <v>414</v>
      </c>
      <c r="E196" s="206">
        <v>200</v>
      </c>
      <c r="F196" s="206">
        <v>100</v>
      </c>
      <c r="G196" s="206">
        <v>100</v>
      </c>
      <c r="H196" s="206">
        <v>0</v>
      </c>
      <c r="I196" s="185" t="str">
        <f t="shared" si="55"/>
        <v>完工</v>
      </c>
      <c r="J196" s="208">
        <v>200</v>
      </c>
      <c r="K196" s="209">
        <f t="shared" si="56"/>
        <v>100</v>
      </c>
      <c r="L196" s="186" t="s">
        <v>415</v>
      </c>
      <c r="M196" s="210">
        <v>44470</v>
      </c>
      <c r="N196" s="210">
        <v>44713</v>
      </c>
      <c r="O196" s="181" t="s">
        <v>416</v>
      </c>
      <c r="P196" s="181" t="s">
        <v>39</v>
      </c>
      <c r="Q196" s="181"/>
      <c r="R196" s="186"/>
      <c r="S196" s="193">
        <f t="shared" si="52"/>
        <v>0</v>
      </c>
      <c r="T196" s="193" t="str">
        <f t="shared" si="57"/>
        <v/>
      </c>
      <c r="U196" s="175" t="str">
        <f t="shared" si="51"/>
        <v> </v>
      </c>
      <c r="V196" s="175" t="str">
        <f t="shared" ref="V196:V197" si="61">IF(I196="完工","",6)</f>
        <v/>
      </c>
      <c r="W196" s="175" t="str">
        <f t="shared" si="58"/>
        <v/>
      </c>
      <c r="X196" s="175" t="str">
        <f t="shared" si="59"/>
        <v/>
      </c>
      <c r="Y196" s="195" t="str">
        <f t="shared" si="49"/>
        <v/>
      </c>
      <c r="Z196" s="195" t="str">
        <f t="shared" si="53"/>
        <v/>
      </c>
      <c r="AA196" s="195" t="str">
        <f t="shared" si="54"/>
        <v/>
      </c>
      <c r="AC196" s="196" t="str">
        <f t="shared" si="60"/>
        <v/>
      </c>
    </row>
    <row r="197" hidden="1" spans="1:29">
      <c r="A197" s="181">
        <v>196</v>
      </c>
      <c r="B197" s="181" t="s">
        <v>417</v>
      </c>
      <c r="C197" s="181" t="s">
        <v>413</v>
      </c>
      <c r="D197" s="181" t="s">
        <v>418</v>
      </c>
      <c r="E197" s="206">
        <v>300</v>
      </c>
      <c r="F197" s="206">
        <v>10</v>
      </c>
      <c r="G197" s="206">
        <v>290</v>
      </c>
      <c r="H197" s="206">
        <v>0</v>
      </c>
      <c r="I197" s="185" t="str">
        <f t="shared" si="55"/>
        <v>在建</v>
      </c>
      <c r="J197" s="208">
        <v>167.87</v>
      </c>
      <c r="K197" s="209">
        <f t="shared" si="56"/>
        <v>157.87</v>
      </c>
      <c r="L197" s="186" t="s">
        <v>419</v>
      </c>
      <c r="M197" s="210">
        <v>44501</v>
      </c>
      <c r="N197" s="210">
        <v>44713</v>
      </c>
      <c r="O197" s="181" t="s">
        <v>416</v>
      </c>
      <c r="P197" s="181" t="s">
        <v>39</v>
      </c>
      <c r="Q197" s="181"/>
      <c r="R197" s="186"/>
      <c r="S197" s="193">
        <f t="shared" si="52"/>
        <v>0</v>
      </c>
      <c r="T197" s="193">
        <f t="shared" si="57"/>
        <v>0</v>
      </c>
      <c r="U197" s="175">
        <f t="shared" si="51"/>
        <v>0</v>
      </c>
      <c r="V197" s="175">
        <f t="shared" si="61"/>
        <v>6</v>
      </c>
      <c r="W197" s="175">
        <f t="shared" si="58"/>
        <v>6</v>
      </c>
      <c r="X197" s="175">
        <f t="shared" si="59"/>
        <v>6.5</v>
      </c>
      <c r="Y197" s="195">
        <f t="shared" si="49"/>
        <v>1.083</v>
      </c>
      <c r="Z197" s="195">
        <f t="shared" si="53"/>
        <v>0.544</v>
      </c>
      <c r="AA197" s="195">
        <f t="shared" si="54"/>
        <v>-0.539</v>
      </c>
      <c r="AC197" s="196">
        <f t="shared" si="60"/>
        <v>0.56</v>
      </c>
    </row>
    <row r="198" hidden="1" spans="1:29">
      <c r="A198" s="181">
        <v>197</v>
      </c>
      <c r="B198" s="181" t="s">
        <v>420</v>
      </c>
      <c r="C198" s="181" t="s">
        <v>421</v>
      </c>
      <c r="D198" s="181" t="s">
        <v>422</v>
      </c>
      <c r="E198" s="206">
        <v>1.48</v>
      </c>
      <c r="F198" s="206">
        <v>1.48</v>
      </c>
      <c r="G198" s="206">
        <v>0</v>
      </c>
      <c r="H198" s="206">
        <v>0</v>
      </c>
      <c r="I198" s="185" t="str">
        <f t="shared" si="55"/>
        <v>完工</v>
      </c>
      <c r="J198" s="208">
        <v>1.48</v>
      </c>
      <c r="K198" s="209" t="str">
        <f t="shared" si="56"/>
        <v/>
      </c>
      <c r="L198" s="186"/>
      <c r="M198" s="210">
        <v>44409</v>
      </c>
      <c r="N198" s="210">
        <v>44469</v>
      </c>
      <c r="O198" s="181" t="s">
        <v>423</v>
      </c>
      <c r="P198" s="181" t="s">
        <v>39</v>
      </c>
      <c r="Q198" s="181"/>
      <c r="R198" s="186"/>
      <c r="S198" s="193">
        <f t="shared" si="52"/>
        <v>0</v>
      </c>
      <c r="T198" s="193" t="str">
        <f t="shared" si="57"/>
        <v/>
      </c>
      <c r="U198" s="175" t="str">
        <f t="shared" si="51"/>
        <v> </v>
      </c>
      <c r="V198" s="175" t="str">
        <f t="shared" ref="V198:V216" si="62">IF(I198="完工","",12)</f>
        <v/>
      </c>
      <c r="W198" s="175" t="str">
        <f t="shared" si="58"/>
        <v/>
      </c>
      <c r="X198" s="175" t="str">
        <f t="shared" si="59"/>
        <v/>
      </c>
      <c r="Y198" s="195" t="str">
        <f t="shared" si="49"/>
        <v/>
      </c>
      <c r="Z198" s="195" t="str">
        <f t="shared" si="53"/>
        <v/>
      </c>
      <c r="AA198" s="195" t="str">
        <f t="shared" si="54"/>
        <v/>
      </c>
      <c r="AC198" s="196" t="str">
        <f t="shared" si="60"/>
        <v/>
      </c>
    </row>
    <row r="199" hidden="1" spans="1:29">
      <c r="A199" s="181">
        <v>197</v>
      </c>
      <c r="B199" s="181" t="s">
        <v>424</v>
      </c>
      <c r="C199" s="181" t="s">
        <v>421</v>
      </c>
      <c r="D199" s="181" t="s">
        <v>425</v>
      </c>
      <c r="E199" s="206">
        <v>9.6</v>
      </c>
      <c r="F199" s="206">
        <v>9.6</v>
      </c>
      <c r="G199" s="206">
        <v>0</v>
      </c>
      <c r="H199" s="206">
        <v>0</v>
      </c>
      <c r="I199" s="185" t="str">
        <f t="shared" si="55"/>
        <v>完工</v>
      </c>
      <c r="J199" s="208">
        <v>9.6</v>
      </c>
      <c r="K199" s="209" t="str">
        <f t="shared" si="56"/>
        <v/>
      </c>
      <c r="L199" s="186"/>
      <c r="M199" s="210">
        <v>44409</v>
      </c>
      <c r="N199" s="210">
        <v>44469</v>
      </c>
      <c r="O199" s="181" t="s">
        <v>423</v>
      </c>
      <c r="P199" s="181" t="s">
        <v>39</v>
      </c>
      <c r="Q199" s="181"/>
      <c r="R199" s="186"/>
      <c r="S199" s="193">
        <f t="shared" si="52"/>
        <v>0</v>
      </c>
      <c r="T199" s="193" t="str">
        <f t="shared" si="57"/>
        <v/>
      </c>
      <c r="U199" s="175" t="str">
        <f t="shared" ref="U199:U226" si="63">IF(I199="完工"," ",0)</f>
        <v> </v>
      </c>
      <c r="V199" s="175" t="str">
        <f t="shared" si="62"/>
        <v/>
      </c>
      <c r="W199" s="175" t="str">
        <f t="shared" si="58"/>
        <v/>
      </c>
      <c r="X199" s="175" t="str">
        <f t="shared" si="59"/>
        <v/>
      </c>
      <c r="Y199" s="195" t="str">
        <f t="shared" si="49"/>
        <v/>
      </c>
      <c r="Z199" s="195" t="str">
        <f t="shared" si="53"/>
        <v/>
      </c>
      <c r="AA199" s="195" t="str">
        <f t="shared" si="54"/>
        <v/>
      </c>
      <c r="AC199" s="196" t="str">
        <f t="shared" si="60"/>
        <v/>
      </c>
    </row>
    <row r="200" hidden="1" spans="1:29">
      <c r="A200" s="181">
        <v>197</v>
      </c>
      <c r="B200" s="181" t="s">
        <v>426</v>
      </c>
      <c r="C200" s="181" t="s">
        <v>421</v>
      </c>
      <c r="D200" s="181" t="s">
        <v>427</v>
      </c>
      <c r="E200" s="206">
        <v>0.34</v>
      </c>
      <c r="F200" s="206">
        <v>0.34</v>
      </c>
      <c r="G200" s="206">
        <v>0</v>
      </c>
      <c r="H200" s="206">
        <v>0</v>
      </c>
      <c r="I200" s="185" t="str">
        <f t="shared" si="55"/>
        <v>完工</v>
      </c>
      <c r="J200" s="208">
        <v>0.34</v>
      </c>
      <c r="K200" s="209" t="str">
        <f t="shared" si="56"/>
        <v/>
      </c>
      <c r="L200" s="186"/>
      <c r="M200" s="210">
        <v>44409</v>
      </c>
      <c r="N200" s="210">
        <v>44469</v>
      </c>
      <c r="O200" s="181" t="s">
        <v>423</v>
      </c>
      <c r="P200" s="181" t="s">
        <v>39</v>
      </c>
      <c r="Q200" s="181"/>
      <c r="R200" s="186"/>
      <c r="S200" s="193">
        <f t="shared" si="52"/>
        <v>0</v>
      </c>
      <c r="T200" s="193" t="str">
        <f t="shared" si="57"/>
        <v/>
      </c>
      <c r="U200" s="175" t="str">
        <f t="shared" si="63"/>
        <v> </v>
      </c>
      <c r="V200" s="175" t="str">
        <f t="shared" si="62"/>
        <v/>
      </c>
      <c r="W200" s="175" t="str">
        <f t="shared" si="58"/>
        <v/>
      </c>
      <c r="X200" s="175" t="str">
        <f t="shared" si="59"/>
        <v/>
      </c>
      <c r="Y200" s="195" t="str">
        <f t="shared" si="49"/>
        <v/>
      </c>
      <c r="Z200" s="195" t="str">
        <f t="shared" si="53"/>
        <v/>
      </c>
      <c r="AA200" s="195" t="str">
        <f t="shared" si="54"/>
        <v/>
      </c>
      <c r="AC200" s="196" t="str">
        <f t="shared" si="60"/>
        <v/>
      </c>
    </row>
    <row r="201" hidden="1" spans="1:29">
      <c r="A201" s="181">
        <v>197</v>
      </c>
      <c r="B201" s="181" t="s">
        <v>428</v>
      </c>
      <c r="C201" s="181" t="s">
        <v>421</v>
      </c>
      <c r="D201" s="181" t="s">
        <v>429</v>
      </c>
      <c r="E201" s="206">
        <v>0.15</v>
      </c>
      <c r="F201" s="206">
        <v>0.15</v>
      </c>
      <c r="G201" s="206">
        <v>0</v>
      </c>
      <c r="H201" s="206">
        <v>0</v>
      </c>
      <c r="I201" s="185" t="str">
        <f t="shared" si="55"/>
        <v>完工</v>
      </c>
      <c r="J201" s="208">
        <v>0.15</v>
      </c>
      <c r="K201" s="209" t="str">
        <f t="shared" si="56"/>
        <v/>
      </c>
      <c r="L201" s="186"/>
      <c r="M201" s="210">
        <v>44409</v>
      </c>
      <c r="N201" s="210">
        <v>44469</v>
      </c>
      <c r="O201" s="181" t="s">
        <v>423</v>
      </c>
      <c r="P201" s="181" t="s">
        <v>39</v>
      </c>
      <c r="Q201" s="181"/>
      <c r="R201" s="186"/>
      <c r="S201" s="193">
        <f t="shared" si="52"/>
        <v>0</v>
      </c>
      <c r="T201" s="193" t="str">
        <f t="shared" si="57"/>
        <v/>
      </c>
      <c r="U201" s="175" t="str">
        <f t="shared" si="63"/>
        <v> </v>
      </c>
      <c r="V201" s="175" t="str">
        <f t="shared" si="62"/>
        <v/>
      </c>
      <c r="W201" s="175" t="str">
        <f t="shared" si="58"/>
        <v/>
      </c>
      <c r="X201" s="175" t="str">
        <f t="shared" si="59"/>
        <v/>
      </c>
      <c r="Y201" s="195" t="str">
        <f t="shared" si="49"/>
        <v/>
      </c>
      <c r="Z201" s="195" t="str">
        <f t="shared" si="53"/>
        <v/>
      </c>
      <c r="AA201" s="195" t="str">
        <f t="shared" si="54"/>
        <v/>
      </c>
      <c r="AC201" s="196" t="str">
        <f t="shared" si="60"/>
        <v/>
      </c>
    </row>
    <row r="202" hidden="1" spans="1:29">
      <c r="A202" s="181">
        <v>197</v>
      </c>
      <c r="B202" s="181" t="s">
        <v>430</v>
      </c>
      <c r="C202" s="181" t="s">
        <v>421</v>
      </c>
      <c r="D202" s="181" t="s">
        <v>431</v>
      </c>
      <c r="E202" s="206">
        <v>0</v>
      </c>
      <c r="F202" s="206">
        <v>0</v>
      </c>
      <c r="G202" s="206">
        <v>0</v>
      </c>
      <c r="H202" s="206">
        <v>0</v>
      </c>
      <c r="I202" s="185" t="str">
        <f t="shared" si="55"/>
        <v>完工</v>
      </c>
      <c r="J202" s="208">
        <v>0</v>
      </c>
      <c r="K202" s="209" t="str">
        <f t="shared" si="56"/>
        <v/>
      </c>
      <c r="L202" s="186"/>
      <c r="M202" s="210">
        <v>44409</v>
      </c>
      <c r="N202" s="210">
        <v>44469</v>
      </c>
      <c r="O202" s="181" t="s">
        <v>423</v>
      </c>
      <c r="P202" s="181" t="s">
        <v>39</v>
      </c>
      <c r="Q202" s="181"/>
      <c r="R202" s="186"/>
      <c r="S202" s="193">
        <f t="shared" si="52"/>
        <v>0</v>
      </c>
      <c r="T202" s="193" t="str">
        <f t="shared" si="57"/>
        <v/>
      </c>
      <c r="U202" s="175" t="str">
        <f t="shared" si="63"/>
        <v> </v>
      </c>
      <c r="V202" s="175" t="str">
        <f t="shared" si="62"/>
        <v/>
      </c>
      <c r="W202" s="175" t="str">
        <f t="shared" si="58"/>
        <v/>
      </c>
      <c r="X202" s="175" t="str">
        <f t="shared" si="59"/>
        <v/>
      </c>
      <c r="Y202" s="195" t="str">
        <f t="shared" si="49"/>
        <v/>
      </c>
      <c r="Z202" s="195" t="str">
        <f t="shared" si="53"/>
        <v/>
      </c>
      <c r="AA202" s="195" t="str">
        <f t="shared" si="54"/>
        <v/>
      </c>
      <c r="AC202" s="196" t="str">
        <f t="shared" si="60"/>
        <v/>
      </c>
    </row>
    <row r="203" hidden="1" spans="1:29">
      <c r="A203" s="181">
        <v>197</v>
      </c>
      <c r="B203" s="181" t="s">
        <v>432</v>
      </c>
      <c r="C203" s="181" t="s">
        <v>421</v>
      </c>
      <c r="D203" s="181" t="s">
        <v>433</v>
      </c>
      <c r="E203" s="206">
        <v>150.6</v>
      </c>
      <c r="F203" s="206">
        <v>150.6</v>
      </c>
      <c r="G203" s="206">
        <v>0</v>
      </c>
      <c r="H203" s="206">
        <v>0</v>
      </c>
      <c r="I203" s="185" t="str">
        <f t="shared" si="55"/>
        <v>完工</v>
      </c>
      <c r="J203" s="208">
        <v>150.6</v>
      </c>
      <c r="K203" s="209" t="str">
        <f t="shared" si="56"/>
        <v/>
      </c>
      <c r="L203" s="186"/>
      <c r="M203" s="210">
        <v>44409</v>
      </c>
      <c r="N203" s="210">
        <v>44469</v>
      </c>
      <c r="O203" s="181" t="s">
        <v>423</v>
      </c>
      <c r="P203" s="181" t="s">
        <v>39</v>
      </c>
      <c r="Q203" s="181"/>
      <c r="R203" s="186"/>
      <c r="S203" s="193">
        <f t="shared" si="52"/>
        <v>0</v>
      </c>
      <c r="T203" s="193" t="str">
        <f t="shared" si="57"/>
        <v/>
      </c>
      <c r="U203" s="175" t="str">
        <f t="shared" si="63"/>
        <v> </v>
      </c>
      <c r="V203" s="175" t="str">
        <f t="shared" si="62"/>
        <v/>
      </c>
      <c r="W203" s="175" t="str">
        <f t="shared" si="58"/>
        <v/>
      </c>
      <c r="X203" s="175" t="str">
        <f t="shared" si="59"/>
        <v/>
      </c>
      <c r="Y203" s="195" t="str">
        <f t="shared" si="49"/>
        <v/>
      </c>
      <c r="Z203" s="195" t="str">
        <f t="shared" si="53"/>
        <v/>
      </c>
      <c r="AA203" s="195" t="str">
        <f t="shared" si="54"/>
        <v/>
      </c>
      <c r="AC203" s="196" t="str">
        <f t="shared" si="60"/>
        <v/>
      </c>
    </row>
    <row r="204" hidden="1" spans="1:29">
      <c r="A204" s="181">
        <v>197</v>
      </c>
      <c r="B204" s="181" t="s">
        <v>434</v>
      </c>
      <c r="C204" s="181" t="s">
        <v>421</v>
      </c>
      <c r="D204" s="181" t="s">
        <v>435</v>
      </c>
      <c r="E204" s="206">
        <v>4</v>
      </c>
      <c r="F204" s="206">
        <v>4</v>
      </c>
      <c r="G204" s="206">
        <v>0</v>
      </c>
      <c r="H204" s="206">
        <v>0</v>
      </c>
      <c r="I204" s="185" t="str">
        <f t="shared" si="55"/>
        <v>完工</v>
      </c>
      <c r="J204" s="208">
        <v>4</v>
      </c>
      <c r="K204" s="209" t="str">
        <f t="shared" si="56"/>
        <v/>
      </c>
      <c r="L204" s="186"/>
      <c r="M204" s="210">
        <v>44409</v>
      </c>
      <c r="N204" s="210">
        <v>44469</v>
      </c>
      <c r="O204" s="181" t="s">
        <v>423</v>
      </c>
      <c r="P204" s="181" t="s">
        <v>39</v>
      </c>
      <c r="Q204" s="181"/>
      <c r="R204" s="186"/>
      <c r="S204" s="193">
        <f t="shared" si="52"/>
        <v>0</v>
      </c>
      <c r="T204" s="193" t="str">
        <f t="shared" si="57"/>
        <v/>
      </c>
      <c r="U204" s="175" t="str">
        <f t="shared" si="63"/>
        <v> </v>
      </c>
      <c r="V204" s="175" t="str">
        <f t="shared" si="62"/>
        <v/>
      </c>
      <c r="W204" s="175" t="str">
        <f t="shared" si="58"/>
        <v/>
      </c>
      <c r="X204" s="175" t="str">
        <f t="shared" si="59"/>
        <v/>
      </c>
      <c r="Y204" s="195" t="str">
        <f t="shared" si="49"/>
        <v/>
      </c>
      <c r="Z204" s="195" t="str">
        <f t="shared" si="53"/>
        <v/>
      </c>
      <c r="AA204" s="195" t="str">
        <f t="shared" si="54"/>
        <v/>
      </c>
      <c r="AC204" s="196" t="str">
        <f t="shared" si="60"/>
        <v/>
      </c>
    </row>
    <row r="205" hidden="1" spans="1:29">
      <c r="A205" s="181">
        <v>197</v>
      </c>
      <c r="B205" s="181" t="s">
        <v>436</v>
      </c>
      <c r="C205" s="181" t="s">
        <v>421</v>
      </c>
      <c r="D205" s="181" t="s">
        <v>437</v>
      </c>
      <c r="E205" s="206">
        <v>0.47</v>
      </c>
      <c r="F205" s="206">
        <v>0.47</v>
      </c>
      <c r="G205" s="206">
        <v>0</v>
      </c>
      <c r="H205" s="206">
        <v>0</v>
      </c>
      <c r="I205" s="185" t="str">
        <f t="shared" si="55"/>
        <v>完工</v>
      </c>
      <c r="J205" s="208">
        <v>0.47</v>
      </c>
      <c r="K205" s="209" t="str">
        <f t="shared" si="56"/>
        <v/>
      </c>
      <c r="L205" s="186"/>
      <c r="M205" s="210">
        <v>44409</v>
      </c>
      <c r="N205" s="210">
        <v>44469</v>
      </c>
      <c r="O205" s="181" t="s">
        <v>423</v>
      </c>
      <c r="P205" s="181" t="s">
        <v>39</v>
      </c>
      <c r="Q205" s="181"/>
      <c r="R205" s="186"/>
      <c r="S205" s="193">
        <f t="shared" si="52"/>
        <v>0</v>
      </c>
      <c r="T205" s="193" t="str">
        <f t="shared" si="57"/>
        <v/>
      </c>
      <c r="U205" s="175" t="str">
        <f t="shared" si="63"/>
        <v> </v>
      </c>
      <c r="V205" s="175" t="str">
        <f t="shared" si="62"/>
        <v/>
      </c>
      <c r="W205" s="175" t="str">
        <f t="shared" si="58"/>
        <v/>
      </c>
      <c r="X205" s="175" t="str">
        <f t="shared" si="59"/>
        <v/>
      </c>
      <c r="Y205" s="195" t="str">
        <f t="shared" si="49"/>
        <v/>
      </c>
      <c r="Z205" s="195" t="str">
        <f t="shared" si="53"/>
        <v/>
      </c>
      <c r="AA205" s="195" t="str">
        <f t="shared" si="54"/>
        <v/>
      </c>
      <c r="AC205" s="196" t="str">
        <f t="shared" si="60"/>
        <v/>
      </c>
    </row>
    <row r="206" hidden="1" spans="1:29">
      <c r="A206" s="181">
        <v>197</v>
      </c>
      <c r="B206" s="181" t="s">
        <v>438</v>
      </c>
      <c r="C206" s="181" t="s">
        <v>421</v>
      </c>
      <c r="D206" s="181" t="s">
        <v>439</v>
      </c>
      <c r="E206" s="206">
        <v>1.13</v>
      </c>
      <c r="F206" s="206">
        <v>1.13</v>
      </c>
      <c r="G206" s="206">
        <v>0</v>
      </c>
      <c r="H206" s="206">
        <v>0</v>
      </c>
      <c r="I206" s="185" t="str">
        <f t="shared" si="55"/>
        <v>完工</v>
      </c>
      <c r="J206" s="208">
        <v>1.13</v>
      </c>
      <c r="K206" s="209" t="str">
        <f t="shared" si="56"/>
        <v/>
      </c>
      <c r="L206" s="186"/>
      <c r="M206" s="210">
        <v>44409</v>
      </c>
      <c r="N206" s="210">
        <v>44469</v>
      </c>
      <c r="O206" s="181" t="s">
        <v>423</v>
      </c>
      <c r="P206" s="181" t="s">
        <v>39</v>
      </c>
      <c r="Q206" s="181"/>
      <c r="R206" s="186"/>
      <c r="S206" s="193">
        <f t="shared" si="52"/>
        <v>0</v>
      </c>
      <c r="T206" s="193" t="str">
        <f t="shared" si="57"/>
        <v/>
      </c>
      <c r="U206" s="175" t="str">
        <f t="shared" si="63"/>
        <v> </v>
      </c>
      <c r="V206" s="175" t="str">
        <f t="shared" si="62"/>
        <v/>
      </c>
      <c r="W206" s="175" t="str">
        <f t="shared" si="58"/>
        <v/>
      </c>
      <c r="X206" s="175" t="str">
        <f t="shared" si="59"/>
        <v/>
      </c>
      <c r="Y206" s="195" t="str">
        <f t="shared" si="49"/>
        <v/>
      </c>
      <c r="Z206" s="195" t="str">
        <f t="shared" si="53"/>
        <v/>
      </c>
      <c r="AA206" s="195" t="str">
        <f t="shared" si="54"/>
        <v/>
      </c>
      <c r="AC206" s="196" t="str">
        <f t="shared" si="60"/>
        <v/>
      </c>
    </row>
    <row r="207" hidden="1" spans="1:29">
      <c r="A207" s="181">
        <v>197</v>
      </c>
      <c r="B207" s="181" t="s">
        <v>440</v>
      </c>
      <c r="C207" s="181" t="s">
        <v>421</v>
      </c>
      <c r="D207" s="181" t="s">
        <v>441</v>
      </c>
      <c r="E207" s="206">
        <v>0.45</v>
      </c>
      <c r="F207" s="206">
        <v>0.45</v>
      </c>
      <c r="G207" s="206">
        <v>0</v>
      </c>
      <c r="H207" s="206">
        <v>0</v>
      </c>
      <c r="I207" s="185" t="str">
        <f t="shared" si="55"/>
        <v>完工</v>
      </c>
      <c r="J207" s="208">
        <v>0.45</v>
      </c>
      <c r="K207" s="209" t="str">
        <f t="shared" si="56"/>
        <v/>
      </c>
      <c r="L207" s="186"/>
      <c r="M207" s="210">
        <v>44409</v>
      </c>
      <c r="N207" s="210">
        <v>44469</v>
      </c>
      <c r="O207" s="181" t="s">
        <v>423</v>
      </c>
      <c r="P207" s="181" t="s">
        <v>39</v>
      </c>
      <c r="Q207" s="181"/>
      <c r="R207" s="186"/>
      <c r="S207" s="193">
        <f t="shared" si="52"/>
        <v>0</v>
      </c>
      <c r="T207" s="193" t="str">
        <f t="shared" si="57"/>
        <v/>
      </c>
      <c r="U207" s="175" t="str">
        <f t="shared" si="63"/>
        <v> </v>
      </c>
      <c r="V207" s="175" t="str">
        <f t="shared" si="62"/>
        <v/>
      </c>
      <c r="W207" s="175" t="str">
        <f t="shared" si="58"/>
        <v/>
      </c>
      <c r="X207" s="175" t="str">
        <f t="shared" si="59"/>
        <v/>
      </c>
      <c r="Y207" s="195" t="str">
        <f t="shared" ref="Y207:Y254" si="64">IF(I207="完工","",ROUND(X207/W207,3))</f>
        <v/>
      </c>
      <c r="Z207" s="195" t="str">
        <f t="shared" si="53"/>
        <v/>
      </c>
      <c r="AA207" s="195" t="str">
        <f t="shared" si="54"/>
        <v/>
      </c>
      <c r="AC207" s="196" t="str">
        <f t="shared" si="60"/>
        <v/>
      </c>
    </row>
    <row r="208" hidden="1" spans="1:29">
      <c r="A208" s="181">
        <v>197</v>
      </c>
      <c r="B208" s="181" t="s">
        <v>442</v>
      </c>
      <c r="C208" s="181" t="s">
        <v>421</v>
      </c>
      <c r="D208" s="181" t="s">
        <v>443</v>
      </c>
      <c r="E208" s="206">
        <v>1.2</v>
      </c>
      <c r="F208" s="206">
        <v>1.2</v>
      </c>
      <c r="G208" s="206">
        <v>0</v>
      </c>
      <c r="H208" s="206">
        <v>0</v>
      </c>
      <c r="I208" s="185" t="str">
        <f t="shared" si="55"/>
        <v>完工</v>
      </c>
      <c r="J208" s="208">
        <v>1.2</v>
      </c>
      <c r="K208" s="209" t="str">
        <f t="shared" si="56"/>
        <v/>
      </c>
      <c r="L208" s="186"/>
      <c r="M208" s="210">
        <v>44409</v>
      </c>
      <c r="N208" s="210">
        <v>44469</v>
      </c>
      <c r="O208" s="181" t="s">
        <v>423</v>
      </c>
      <c r="P208" s="181" t="s">
        <v>39</v>
      </c>
      <c r="Q208" s="181"/>
      <c r="R208" s="186"/>
      <c r="S208" s="193">
        <f t="shared" si="52"/>
        <v>0</v>
      </c>
      <c r="T208" s="193" t="str">
        <f t="shared" si="57"/>
        <v/>
      </c>
      <c r="U208" s="175" t="str">
        <f t="shared" si="63"/>
        <v> </v>
      </c>
      <c r="V208" s="175" t="str">
        <f t="shared" si="62"/>
        <v/>
      </c>
      <c r="W208" s="175" t="str">
        <f t="shared" si="58"/>
        <v/>
      </c>
      <c r="X208" s="175" t="str">
        <f t="shared" si="59"/>
        <v/>
      </c>
      <c r="Y208" s="195" t="str">
        <f t="shared" si="64"/>
        <v/>
      </c>
      <c r="Z208" s="195" t="str">
        <f t="shared" si="53"/>
        <v/>
      </c>
      <c r="AA208" s="195" t="str">
        <f t="shared" si="54"/>
        <v/>
      </c>
      <c r="AC208" s="196" t="str">
        <f t="shared" si="60"/>
        <v/>
      </c>
    </row>
    <row r="209" hidden="1" spans="1:29">
      <c r="A209" s="181">
        <v>197</v>
      </c>
      <c r="B209" s="181" t="s">
        <v>444</v>
      </c>
      <c r="C209" s="181" t="s">
        <v>421</v>
      </c>
      <c r="D209" s="181" t="s">
        <v>445</v>
      </c>
      <c r="E209" s="206">
        <v>0.6</v>
      </c>
      <c r="F209" s="206">
        <v>0.6</v>
      </c>
      <c r="G209" s="206">
        <v>0</v>
      </c>
      <c r="H209" s="206">
        <v>0</v>
      </c>
      <c r="I209" s="185" t="str">
        <f t="shared" si="55"/>
        <v>完工</v>
      </c>
      <c r="J209" s="208">
        <v>0.6</v>
      </c>
      <c r="K209" s="209" t="str">
        <f t="shared" si="56"/>
        <v/>
      </c>
      <c r="L209" s="186"/>
      <c r="M209" s="210">
        <v>44409</v>
      </c>
      <c r="N209" s="210">
        <v>44469</v>
      </c>
      <c r="O209" s="181" t="s">
        <v>423</v>
      </c>
      <c r="P209" s="181" t="s">
        <v>39</v>
      </c>
      <c r="Q209" s="181"/>
      <c r="R209" s="186"/>
      <c r="S209" s="193">
        <f t="shared" si="52"/>
        <v>0</v>
      </c>
      <c r="T209" s="193" t="str">
        <f t="shared" si="57"/>
        <v/>
      </c>
      <c r="U209" s="175" t="str">
        <f t="shared" si="63"/>
        <v> </v>
      </c>
      <c r="V209" s="175" t="str">
        <f t="shared" si="62"/>
        <v/>
      </c>
      <c r="W209" s="175" t="str">
        <f t="shared" si="58"/>
        <v/>
      </c>
      <c r="X209" s="175" t="str">
        <f t="shared" si="59"/>
        <v/>
      </c>
      <c r="Y209" s="195" t="str">
        <f t="shared" si="64"/>
        <v/>
      </c>
      <c r="Z209" s="195" t="str">
        <f t="shared" si="53"/>
        <v/>
      </c>
      <c r="AA209" s="195" t="str">
        <f t="shared" si="54"/>
        <v/>
      </c>
      <c r="AC209" s="196" t="str">
        <f t="shared" si="60"/>
        <v/>
      </c>
    </row>
    <row r="210" hidden="1" spans="1:29">
      <c r="A210" s="181">
        <v>197</v>
      </c>
      <c r="B210" s="181" t="s">
        <v>446</v>
      </c>
      <c r="C210" s="181" t="s">
        <v>421</v>
      </c>
      <c r="D210" s="181" t="s">
        <v>447</v>
      </c>
      <c r="E210" s="206">
        <v>1.1</v>
      </c>
      <c r="F210" s="206">
        <v>1.1</v>
      </c>
      <c r="G210" s="206">
        <v>0</v>
      </c>
      <c r="H210" s="206">
        <v>0</v>
      </c>
      <c r="I210" s="185" t="str">
        <f t="shared" si="55"/>
        <v>完工</v>
      </c>
      <c r="J210" s="208">
        <v>1.1</v>
      </c>
      <c r="K210" s="209" t="str">
        <f t="shared" si="56"/>
        <v/>
      </c>
      <c r="L210" s="186"/>
      <c r="M210" s="210">
        <v>44409</v>
      </c>
      <c r="N210" s="210">
        <v>44469</v>
      </c>
      <c r="O210" s="181" t="s">
        <v>423</v>
      </c>
      <c r="P210" s="181" t="s">
        <v>39</v>
      </c>
      <c r="Q210" s="181"/>
      <c r="R210" s="186"/>
      <c r="S210" s="193">
        <f t="shared" si="52"/>
        <v>0</v>
      </c>
      <c r="T210" s="193" t="str">
        <f t="shared" si="57"/>
        <v/>
      </c>
      <c r="U210" s="175" t="str">
        <f t="shared" si="63"/>
        <v> </v>
      </c>
      <c r="V210" s="175" t="str">
        <f t="shared" si="62"/>
        <v/>
      </c>
      <c r="W210" s="175" t="str">
        <f t="shared" si="58"/>
        <v/>
      </c>
      <c r="X210" s="175" t="str">
        <f t="shared" si="59"/>
        <v/>
      </c>
      <c r="Y210" s="195" t="str">
        <f t="shared" si="64"/>
        <v/>
      </c>
      <c r="Z210" s="195" t="str">
        <f t="shared" si="53"/>
        <v/>
      </c>
      <c r="AA210" s="195" t="str">
        <f t="shared" si="54"/>
        <v/>
      </c>
      <c r="AC210" s="196" t="str">
        <f t="shared" si="60"/>
        <v/>
      </c>
    </row>
    <row r="211" hidden="1" spans="1:29">
      <c r="A211" s="181">
        <v>197</v>
      </c>
      <c r="B211" s="181" t="s">
        <v>448</v>
      </c>
      <c r="C211" s="181" t="s">
        <v>421</v>
      </c>
      <c r="D211" s="181" t="s">
        <v>449</v>
      </c>
      <c r="E211" s="206">
        <v>8.66</v>
      </c>
      <c r="F211" s="206">
        <v>8.66</v>
      </c>
      <c r="G211" s="206">
        <v>0</v>
      </c>
      <c r="H211" s="206">
        <v>0</v>
      </c>
      <c r="I211" s="185" t="str">
        <f t="shared" si="55"/>
        <v>完工</v>
      </c>
      <c r="J211" s="208">
        <v>8.66</v>
      </c>
      <c r="K211" s="209" t="str">
        <f t="shared" si="56"/>
        <v/>
      </c>
      <c r="L211" s="186"/>
      <c r="M211" s="210">
        <v>44409</v>
      </c>
      <c r="N211" s="210">
        <v>44469</v>
      </c>
      <c r="O211" s="181" t="s">
        <v>423</v>
      </c>
      <c r="P211" s="181" t="s">
        <v>39</v>
      </c>
      <c r="Q211" s="181"/>
      <c r="R211" s="186"/>
      <c r="S211" s="193">
        <f t="shared" si="52"/>
        <v>0</v>
      </c>
      <c r="T211" s="193" t="str">
        <f t="shared" si="57"/>
        <v/>
      </c>
      <c r="U211" s="175" t="str">
        <f t="shared" si="63"/>
        <v> </v>
      </c>
      <c r="V211" s="175" t="str">
        <f t="shared" si="62"/>
        <v/>
      </c>
      <c r="W211" s="175" t="str">
        <f t="shared" si="58"/>
        <v/>
      </c>
      <c r="X211" s="175" t="str">
        <f t="shared" si="59"/>
        <v/>
      </c>
      <c r="Y211" s="195" t="str">
        <f t="shared" si="64"/>
        <v/>
      </c>
      <c r="Z211" s="195" t="str">
        <f t="shared" si="53"/>
        <v/>
      </c>
      <c r="AA211" s="195" t="str">
        <f t="shared" si="54"/>
        <v/>
      </c>
      <c r="AC211" s="196" t="str">
        <f t="shared" si="60"/>
        <v/>
      </c>
    </row>
    <row r="212" hidden="1" spans="1:29">
      <c r="A212" s="181">
        <v>197</v>
      </c>
      <c r="B212" s="181" t="s">
        <v>450</v>
      </c>
      <c r="C212" s="181" t="s">
        <v>421</v>
      </c>
      <c r="D212" s="181" t="s">
        <v>451</v>
      </c>
      <c r="E212" s="206">
        <v>2</v>
      </c>
      <c r="F212" s="206">
        <v>2</v>
      </c>
      <c r="G212" s="206">
        <v>0</v>
      </c>
      <c r="H212" s="206">
        <v>0</v>
      </c>
      <c r="I212" s="185" t="str">
        <f t="shared" si="55"/>
        <v>完工</v>
      </c>
      <c r="J212" s="208">
        <v>2</v>
      </c>
      <c r="K212" s="209" t="str">
        <f t="shared" si="56"/>
        <v/>
      </c>
      <c r="L212" s="186"/>
      <c r="M212" s="210">
        <v>44409</v>
      </c>
      <c r="N212" s="210">
        <v>44469</v>
      </c>
      <c r="O212" s="181" t="s">
        <v>423</v>
      </c>
      <c r="P212" s="181" t="s">
        <v>39</v>
      </c>
      <c r="Q212" s="181"/>
      <c r="R212" s="186"/>
      <c r="S212" s="193">
        <f t="shared" si="52"/>
        <v>0</v>
      </c>
      <c r="T212" s="193" t="str">
        <f t="shared" si="57"/>
        <v/>
      </c>
      <c r="U212" s="175" t="str">
        <f t="shared" si="63"/>
        <v> </v>
      </c>
      <c r="V212" s="175" t="str">
        <f t="shared" si="62"/>
        <v/>
      </c>
      <c r="W212" s="175" t="str">
        <f t="shared" si="58"/>
        <v/>
      </c>
      <c r="X212" s="175" t="str">
        <f t="shared" si="59"/>
        <v/>
      </c>
      <c r="Y212" s="195" t="str">
        <f t="shared" si="64"/>
        <v/>
      </c>
      <c r="Z212" s="195" t="str">
        <f t="shared" si="53"/>
        <v/>
      </c>
      <c r="AA212" s="195" t="str">
        <f t="shared" si="54"/>
        <v/>
      </c>
      <c r="AC212" s="196" t="str">
        <f t="shared" si="60"/>
        <v/>
      </c>
    </row>
    <row r="213" hidden="1" spans="1:29">
      <c r="A213" s="181">
        <v>197</v>
      </c>
      <c r="B213" s="181" t="s">
        <v>452</v>
      </c>
      <c r="C213" s="181" t="s">
        <v>421</v>
      </c>
      <c r="D213" s="181" t="s">
        <v>453</v>
      </c>
      <c r="E213" s="206">
        <v>4</v>
      </c>
      <c r="F213" s="206">
        <v>4</v>
      </c>
      <c r="G213" s="206">
        <v>0</v>
      </c>
      <c r="H213" s="206">
        <v>0</v>
      </c>
      <c r="I213" s="185" t="str">
        <f t="shared" si="55"/>
        <v>完工</v>
      </c>
      <c r="J213" s="208">
        <v>4</v>
      </c>
      <c r="K213" s="209" t="str">
        <f t="shared" si="56"/>
        <v/>
      </c>
      <c r="L213" s="186"/>
      <c r="M213" s="210">
        <v>44409</v>
      </c>
      <c r="N213" s="210">
        <v>44469</v>
      </c>
      <c r="O213" s="181" t="s">
        <v>423</v>
      </c>
      <c r="P213" s="181" t="s">
        <v>39</v>
      </c>
      <c r="Q213" s="181"/>
      <c r="R213" s="186"/>
      <c r="S213" s="193">
        <f t="shared" si="52"/>
        <v>0</v>
      </c>
      <c r="T213" s="193" t="str">
        <f t="shared" si="57"/>
        <v/>
      </c>
      <c r="U213" s="175" t="str">
        <f t="shared" si="63"/>
        <v> </v>
      </c>
      <c r="V213" s="175" t="str">
        <f t="shared" si="62"/>
        <v/>
      </c>
      <c r="W213" s="175" t="str">
        <f t="shared" si="58"/>
        <v/>
      </c>
      <c r="X213" s="175" t="str">
        <f t="shared" si="59"/>
        <v/>
      </c>
      <c r="Y213" s="195" t="str">
        <f t="shared" si="64"/>
        <v/>
      </c>
      <c r="Z213" s="195" t="str">
        <f t="shared" si="53"/>
        <v/>
      </c>
      <c r="AA213" s="195" t="str">
        <f t="shared" si="54"/>
        <v/>
      </c>
      <c r="AC213" s="196" t="str">
        <f t="shared" si="60"/>
        <v/>
      </c>
    </row>
    <row r="214" hidden="1" spans="1:29">
      <c r="A214" s="181">
        <v>197</v>
      </c>
      <c r="B214" s="181" t="s">
        <v>454</v>
      </c>
      <c r="C214" s="181" t="s">
        <v>421</v>
      </c>
      <c r="D214" s="181" t="s">
        <v>455</v>
      </c>
      <c r="E214" s="206">
        <v>1.65</v>
      </c>
      <c r="F214" s="206">
        <v>1.65</v>
      </c>
      <c r="G214" s="206">
        <v>0</v>
      </c>
      <c r="H214" s="206">
        <v>0</v>
      </c>
      <c r="I214" s="185" t="str">
        <f t="shared" si="55"/>
        <v>完工</v>
      </c>
      <c r="J214" s="208">
        <v>1.65</v>
      </c>
      <c r="K214" s="209" t="str">
        <f t="shared" si="56"/>
        <v/>
      </c>
      <c r="L214" s="186"/>
      <c r="M214" s="210">
        <v>44409</v>
      </c>
      <c r="N214" s="210">
        <v>44469</v>
      </c>
      <c r="O214" s="181" t="s">
        <v>423</v>
      </c>
      <c r="P214" s="181" t="s">
        <v>39</v>
      </c>
      <c r="Q214" s="181"/>
      <c r="R214" s="186"/>
      <c r="S214" s="193">
        <f t="shared" si="52"/>
        <v>0</v>
      </c>
      <c r="T214" s="193" t="str">
        <f t="shared" si="57"/>
        <v/>
      </c>
      <c r="U214" s="175" t="str">
        <f t="shared" si="63"/>
        <v> </v>
      </c>
      <c r="V214" s="175" t="str">
        <f t="shared" si="62"/>
        <v/>
      </c>
      <c r="W214" s="175" t="str">
        <f t="shared" si="58"/>
        <v/>
      </c>
      <c r="X214" s="175" t="str">
        <f t="shared" si="59"/>
        <v/>
      </c>
      <c r="Y214" s="195" t="str">
        <f t="shared" si="64"/>
        <v/>
      </c>
      <c r="Z214" s="195" t="str">
        <f t="shared" si="53"/>
        <v/>
      </c>
      <c r="AA214" s="195" t="str">
        <f t="shared" si="54"/>
        <v/>
      </c>
      <c r="AC214" s="196" t="str">
        <f t="shared" si="60"/>
        <v/>
      </c>
    </row>
    <row r="215" hidden="1" spans="1:29">
      <c r="A215" s="181">
        <v>197</v>
      </c>
      <c r="B215" s="181" t="s">
        <v>456</v>
      </c>
      <c r="C215" s="181" t="s">
        <v>421</v>
      </c>
      <c r="D215" s="181" t="s">
        <v>457</v>
      </c>
      <c r="E215" s="206">
        <v>4.3</v>
      </c>
      <c r="F215" s="206">
        <v>4.3</v>
      </c>
      <c r="G215" s="206">
        <v>0</v>
      </c>
      <c r="H215" s="206">
        <v>0</v>
      </c>
      <c r="I215" s="185" t="str">
        <f t="shared" si="55"/>
        <v>完工</v>
      </c>
      <c r="J215" s="208">
        <v>4.3</v>
      </c>
      <c r="K215" s="209" t="str">
        <f t="shared" si="56"/>
        <v/>
      </c>
      <c r="L215" s="186"/>
      <c r="M215" s="210">
        <v>44409</v>
      </c>
      <c r="N215" s="210">
        <v>44469</v>
      </c>
      <c r="O215" s="181" t="s">
        <v>423</v>
      </c>
      <c r="P215" s="181" t="s">
        <v>39</v>
      </c>
      <c r="Q215" s="181"/>
      <c r="R215" s="186"/>
      <c r="S215" s="193">
        <f t="shared" si="52"/>
        <v>0</v>
      </c>
      <c r="T215" s="193" t="str">
        <f t="shared" si="57"/>
        <v/>
      </c>
      <c r="U215" s="175" t="str">
        <f t="shared" si="63"/>
        <v> </v>
      </c>
      <c r="V215" s="175" t="str">
        <f t="shared" si="62"/>
        <v/>
      </c>
      <c r="W215" s="175" t="str">
        <f t="shared" si="58"/>
        <v/>
      </c>
      <c r="X215" s="175" t="str">
        <f t="shared" si="59"/>
        <v/>
      </c>
      <c r="Y215" s="195" t="str">
        <f t="shared" si="64"/>
        <v/>
      </c>
      <c r="Z215" s="195" t="str">
        <f t="shared" si="53"/>
        <v/>
      </c>
      <c r="AA215" s="195" t="str">
        <f t="shared" si="54"/>
        <v/>
      </c>
      <c r="AC215" s="196" t="str">
        <f t="shared" si="60"/>
        <v/>
      </c>
    </row>
    <row r="216" hidden="1" spans="1:29">
      <c r="A216" s="181">
        <v>197</v>
      </c>
      <c r="B216" s="181" t="s">
        <v>458</v>
      </c>
      <c r="C216" s="181" t="s">
        <v>421</v>
      </c>
      <c r="D216" s="181" t="s">
        <v>459</v>
      </c>
      <c r="E216" s="206">
        <v>1</v>
      </c>
      <c r="F216" s="206">
        <v>1</v>
      </c>
      <c r="G216" s="206">
        <v>0</v>
      </c>
      <c r="H216" s="206">
        <v>0</v>
      </c>
      <c r="I216" s="185" t="str">
        <f t="shared" si="55"/>
        <v>完工</v>
      </c>
      <c r="J216" s="208">
        <v>1</v>
      </c>
      <c r="K216" s="209" t="str">
        <f t="shared" si="56"/>
        <v/>
      </c>
      <c r="L216" s="186"/>
      <c r="M216" s="210">
        <v>44409</v>
      </c>
      <c r="N216" s="210">
        <v>44469</v>
      </c>
      <c r="O216" s="181" t="s">
        <v>423</v>
      </c>
      <c r="P216" s="181" t="s">
        <v>39</v>
      </c>
      <c r="Q216" s="181"/>
      <c r="R216" s="186"/>
      <c r="S216" s="193">
        <f t="shared" si="52"/>
        <v>0</v>
      </c>
      <c r="T216" s="193" t="str">
        <f t="shared" si="57"/>
        <v/>
      </c>
      <c r="U216" s="175" t="str">
        <f t="shared" si="63"/>
        <v> </v>
      </c>
      <c r="V216" s="175" t="str">
        <f t="shared" si="62"/>
        <v/>
      </c>
      <c r="W216" s="175" t="str">
        <f t="shared" si="58"/>
        <v/>
      </c>
      <c r="X216" s="175" t="str">
        <f t="shared" si="59"/>
        <v/>
      </c>
      <c r="Y216" s="195" t="str">
        <f t="shared" si="64"/>
        <v/>
      </c>
      <c r="Z216" s="195" t="str">
        <f t="shared" si="53"/>
        <v/>
      </c>
      <c r="AA216" s="195" t="str">
        <f t="shared" si="54"/>
        <v/>
      </c>
      <c r="AC216" s="196" t="str">
        <f t="shared" si="60"/>
        <v/>
      </c>
    </row>
    <row r="217" s="203" customFormat="1" hidden="1" spans="1:29">
      <c r="A217" s="214">
        <v>198</v>
      </c>
      <c r="B217" s="214" t="s">
        <v>460</v>
      </c>
      <c r="C217" s="214" t="s">
        <v>461</v>
      </c>
      <c r="D217" s="214" t="s">
        <v>462</v>
      </c>
      <c r="E217" s="215">
        <v>2280</v>
      </c>
      <c r="F217" s="215">
        <v>10</v>
      </c>
      <c r="G217" s="215">
        <v>2270</v>
      </c>
      <c r="H217" s="215">
        <v>0</v>
      </c>
      <c r="I217" s="215" t="str">
        <f t="shared" si="55"/>
        <v>在建</v>
      </c>
      <c r="J217" s="217">
        <v>2276</v>
      </c>
      <c r="K217" s="217">
        <f t="shared" si="56"/>
        <v>2266</v>
      </c>
      <c r="L217" s="214" t="s">
        <v>463</v>
      </c>
      <c r="M217" s="218">
        <v>44531</v>
      </c>
      <c r="N217" s="218">
        <v>44896</v>
      </c>
      <c r="O217" s="214" t="s">
        <v>464</v>
      </c>
      <c r="P217" s="214" t="s">
        <v>39</v>
      </c>
      <c r="Q217" s="214">
        <v>20.5</v>
      </c>
      <c r="R217" s="214" t="s">
        <v>465</v>
      </c>
      <c r="S217" s="219">
        <f t="shared" si="52"/>
        <v>0</v>
      </c>
      <c r="T217" s="219">
        <f t="shared" si="57"/>
        <v>0</v>
      </c>
      <c r="U217" s="176">
        <f t="shared" si="63"/>
        <v>0</v>
      </c>
      <c r="V217" s="176">
        <f t="shared" ref="V217:V224" si="65">IF(I217="完工","",0)</f>
        <v>0</v>
      </c>
      <c r="W217" s="176">
        <f t="shared" si="58"/>
        <v>12</v>
      </c>
      <c r="X217" s="176">
        <f t="shared" si="59"/>
        <v>6.5</v>
      </c>
      <c r="Y217" s="220">
        <f t="shared" si="64"/>
        <v>0.542</v>
      </c>
      <c r="Z217" s="220">
        <f t="shared" si="53"/>
        <v>0.998</v>
      </c>
      <c r="AA217" s="220">
        <f t="shared" si="54"/>
        <v>0.456</v>
      </c>
      <c r="AC217" s="196">
        <f t="shared" si="60"/>
        <v>0.998</v>
      </c>
    </row>
    <row r="218" s="203" customFormat="1" hidden="1" spans="1:29">
      <c r="A218" s="214">
        <v>199</v>
      </c>
      <c r="B218" s="214" t="s">
        <v>466</v>
      </c>
      <c r="C218" s="214" t="s">
        <v>461</v>
      </c>
      <c r="D218" s="214" t="s">
        <v>467</v>
      </c>
      <c r="E218" s="215">
        <v>6750</v>
      </c>
      <c r="F218" s="215">
        <v>607</v>
      </c>
      <c r="G218" s="215">
        <v>6143</v>
      </c>
      <c r="H218" s="215">
        <v>0</v>
      </c>
      <c r="I218" s="215" t="str">
        <f t="shared" si="55"/>
        <v>在建</v>
      </c>
      <c r="J218" s="217">
        <v>6234</v>
      </c>
      <c r="K218" s="217">
        <f t="shared" si="56"/>
        <v>5627</v>
      </c>
      <c r="L218" s="214" t="s">
        <v>468</v>
      </c>
      <c r="M218" s="218">
        <v>44197</v>
      </c>
      <c r="N218" s="218">
        <v>44896</v>
      </c>
      <c r="O218" s="214" t="s">
        <v>464</v>
      </c>
      <c r="P218" s="214" t="s">
        <v>39</v>
      </c>
      <c r="Q218" s="214"/>
      <c r="R218" s="214" t="s">
        <v>465</v>
      </c>
      <c r="S218" s="219">
        <f t="shared" si="52"/>
        <v>0</v>
      </c>
      <c r="T218" s="219">
        <f t="shared" si="57"/>
        <v>0</v>
      </c>
      <c r="U218" s="176">
        <f t="shared" si="63"/>
        <v>0</v>
      </c>
      <c r="V218" s="176">
        <f t="shared" si="65"/>
        <v>0</v>
      </c>
      <c r="W218" s="176">
        <f t="shared" si="58"/>
        <v>12</v>
      </c>
      <c r="X218" s="176">
        <f t="shared" si="59"/>
        <v>6.5</v>
      </c>
      <c r="Y218" s="220">
        <f t="shared" si="64"/>
        <v>0.542</v>
      </c>
      <c r="Z218" s="220">
        <f t="shared" si="53"/>
        <v>0.916</v>
      </c>
      <c r="AA218" s="220">
        <f t="shared" si="54"/>
        <v>0.374</v>
      </c>
      <c r="AC218" s="196">
        <f t="shared" si="60"/>
        <v>0.924</v>
      </c>
    </row>
    <row r="219" s="203" customFormat="1" hidden="1" spans="1:29">
      <c r="A219" s="214">
        <v>200</v>
      </c>
      <c r="B219" s="214" t="s">
        <v>469</v>
      </c>
      <c r="C219" s="214" t="s">
        <v>461</v>
      </c>
      <c r="D219" s="214" t="s">
        <v>470</v>
      </c>
      <c r="E219" s="215">
        <v>500</v>
      </c>
      <c r="F219" s="215">
        <v>16</v>
      </c>
      <c r="G219" s="215">
        <v>484</v>
      </c>
      <c r="H219" s="215">
        <v>0</v>
      </c>
      <c r="I219" s="215" t="str">
        <f t="shared" si="55"/>
        <v>在建</v>
      </c>
      <c r="J219" s="217">
        <v>325</v>
      </c>
      <c r="K219" s="217">
        <f t="shared" si="56"/>
        <v>309</v>
      </c>
      <c r="L219" s="214" t="s">
        <v>471</v>
      </c>
      <c r="M219" s="218">
        <v>44197</v>
      </c>
      <c r="N219" s="218">
        <v>44896</v>
      </c>
      <c r="O219" s="214" t="s">
        <v>464</v>
      </c>
      <c r="P219" s="214" t="s">
        <v>39</v>
      </c>
      <c r="Q219" s="214"/>
      <c r="R219" s="214" t="s">
        <v>465</v>
      </c>
      <c r="S219" s="219">
        <f t="shared" si="52"/>
        <v>0</v>
      </c>
      <c r="T219" s="219">
        <f t="shared" si="57"/>
        <v>0</v>
      </c>
      <c r="U219" s="176">
        <f t="shared" si="63"/>
        <v>0</v>
      </c>
      <c r="V219" s="176">
        <f t="shared" si="65"/>
        <v>0</v>
      </c>
      <c r="W219" s="176">
        <f t="shared" si="58"/>
        <v>12</v>
      </c>
      <c r="X219" s="176">
        <f t="shared" si="59"/>
        <v>6.5</v>
      </c>
      <c r="Y219" s="220">
        <f t="shared" si="64"/>
        <v>0.542</v>
      </c>
      <c r="Z219" s="220">
        <f t="shared" si="53"/>
        <v>0.638</v>
      </c>
      <c r="AA219" s="220">
        <f t="shared" si="54"/>
        <v>0.096</v>
      </c>
      <c r="AC219" s="196">
        <f t="shared" si="60"/>
        <v>0.65</v>
      </c>
    </row>
    <row r="220" s="203" customFormat="1" hidden="1" spans="1:29">
      <c r="A220" s="214">
        <v>201</v>
      </c>
      <c r="B220" s="214" t="s">
        <v>472</v>
      </c>
      <c r="C220" s="214" t="s">
        <v>461</v>
      </c>
      <c r="D220" s="214" t="s">
        <v>473</v>
      </c>
      <c r="E220" s="215">
        <v>500</v>
      </c>
      <c r="F220" s="215">
        <v>230</v>
      </c>
      <c r="G220" s="215">
        <v>270</v>
      </c>
      <c r="H220" s="215">
        <v>0</v>
      </c>
      <c r="I220" s="215" t="str">
        <f t="shared" si="55"/>
        <v>在建</v>
      </c>
      <c r="J220" s="217">
        <v>450</v>
      </c>
      <c r="K220" s="217">
        <f t="shared" si="56"/>
        <v>220</v>
      </c>
      <c r="L220" s="214" t="s">
        <v>474</v>
      </c>
      <c r="M220" s="218">
        <v>44197</v>
      </c>
      <c r="N220" s="218">
        <v>44896</v>
      </c>
      <c r="O220" s="214" t="s">
        <v>464</v>
      </c>
      <c r="P220" s="214" t="s">
        <v>39</v>
      </c>
      <c r="Q220" s="214"/>
      <c r="R220" s="214" t="s">
        <v>465</v>
      </c>
      <c r="S220" s="219">
        <f t="shared" si="52"/>
        <v>0</v>
      </c>
      <c r="T220" s="219">
        <f t="shared" si="57"/>
        <v>0</v>
      </c>
      <c r="U220" s="176">
        <f t="shared" si="63"/>
        <v>0</v>
      </c>
      <c r="V220" s="176">
        <f t="shared" si="65"/>
        <v>0</v>
      </c>
      <c r="W220" s="176">
        <f t="shared" si="58"/>
        <v>12</v>
      </c>
      <c r="X220" s="176">
        <f t="shared" si="59"/>
        <v>6.5</v>
      </c>
      <c r="Y220" s="220">
        <f t="shared" si="64"/>
        <v>0.542</v>
      </c>
      <c r="Z220" s="220">
        <f t="shared" si="53"/>
        <v>0.815</v>
      </c>
      <c r="AA220" s="220">
        <f t="shared" si="54"/>
        <v>0.273</v>
      </c>
      <c r="AC220" s="196">
        <f t="shared" si="60"/>
        <v>0.9</v>
      </c>
    </row>
    <row r="221" s="203" customFormat="1" hidden="1" spans="1:29">
      <c r="A221" s="214">
        <v>202</v>
      </c>
      <c r="B221" s="214" t="s">
        <v>475</v>
      </c>
      <c r="C221" s="214" t="s">
        <v>461</v>
      </c>
      <c r="D221" s="214" t="s">
        <v>476</v>
      </c>
      <c r="E221" s="215">
        <v>800</v>
      </c>
      <c r="F221" s="215">
        <v>337</v>
      </c>
      <c r="G221" s="215">
        <v>463</v>
      </c>
      <c r="H221" s="215">
        <v>0</v>
      </c>
      <c r="I221" s="215" t="str">
        <f t="shared" si="55"/>
        <v>在建</v>
      </c>
      <c r="J221" s="217">
        <v>690</v>
      </c>
      <c r="K221" s="217">
        <f t="shared" si="56"/>
        <v>353</v>
      </c>
      <c r="L221" s="214" t="s">
        <v>477</v>
      </c>
      <c r="M221" s="218">
        <v>44197</v>
      </c>
      <c r="N221" s="218">
        <v>44896</v>
      </c>
      <c r="O221" s="214" t="s">
        <v>464</v>
      </c>
      <c r="P221" s="214" t="s">
        <v>39</v>
      </c>
      <c r="Q221" s="214"/>
      <c r="R221" s="214" t="s">
        <v>465</v>
      </c>
      <c r="S221" s="219">
        <f t="shared" si="52"/>
        <v>0</v>
      </c>
      <c r="T221" s="219">
        <f t="shared" si="57"/>
        <v>0</v>
      </c>
      <c r="U221" s="176">
        <f t="shared" si="63"/>
        <v>0</v>
      </c>
      <c r="V221" s="176">
        <f t="shared" si="65"/>
        <v>0</v>
      </c>
      <c r="W221" s="176">
        <f t="shared" si="58"/>
        <v>12</v>
      </c>
      <c r="X221" s="176">
        <f t="shared" si="59"/>
        <v>6.5</v>
      </c>
      <c r="Y221" s="220">
        <f t="shared" si="64"/>
        <v>0.542</v>
      </c>
      <c r="Z221" s="220">
        <f t="shared" si="53"/>
        <v>0.762</v>
      </c>
      <c r="AA221" s="220">
        <f t="shared" si="54"/>
        <v>0.22</v>
      </c>
      <c r="AC221" s="196">
        <f t="shared" si="60"/>
        <v>0.863</v>
      </c>
    </row>
    <row r="222" s="203" customFormat="1" hidden="1" spans="1:29">
      <c r="A222" s="214">
        <v>203</v>
      </c>
      <c r="B222" s="214" t="s">
        <v>478</v>
      </c>
      <c r="C222" s="214" t="s">
        <v>461</v>
      </c>
      <c r="D222" s="214" t="s">
        <v>479</v>
      </c>
      <c r="E222" s="215">
        <v>1561.9</v>
      </c>
      <c r="F222" s="215">
        <v>440</v>
      </c>
      <c r="G222" s="215">
        <v>1121.9</v>
      </c>
      <c r="H222" s="215">
        <v>0</v>
      </c>
      <c r="I222" s="215" t="str">
        <f t="shared" si="55"/>
        <v>在建</v>
      </c>
      <c r="J222" s="217">
        <v>1514</v>
      </c>
      <c r="K222" s="217">
        <f t="shared" si="56"/>
        <v>1074</v>
      </c>
      <c r="L222" s="214" t="s">
        <v>480</v>
      </c>
      <c r="M222" s="218">
        <v>44197</v>
      </c>
      <c r="N222" s="218">
        <v>44896</v>
      </c>
      <c r="O222" s="214" t="s">
        <v>464</v>
      </c>
      <c r="P222" s="214" t="s">
        <v>39</v>
      </c>
      <c r="Q222" s="214"/>
      <c r="R222" s="214" t="s">
        <v>465</v>
      </c>
      <c r="S222" s="219">
        <f t="shared" si="52"/>
        <v>0</v>
      </c>
      <c r="T222" s="219">
        <f t="shared" si="57"/>
        <v>0</v>
      </c>
      <c r="U222" s="176">
        <f t="shared" si="63"/>
        <v>0</v>
      </c>
      <c r="V222" s="176">
        <f t="shared" si="65"/>
        <v>0</v>
      </c>
      <c r="W222" s="176">
        <f t="shared" si="58"/>
        <v>12</v>
      </c>
      <c r="X222" s="176">
        <f t="shared" si="59"/>
        <v>6.5</v>
      </c>
      <c r="Y222" s="220">
        <f t="shared" si="64"/>
        <v>0.542</v>
      </c>
      <c r="Z222" s="220">
        <f t="shared" si="53"/>
        <v>0.957</v>
      </c>
      <c r="AA222" s="220">
        <f t="shared" si="54"/>
        <v>0.415</v>
      </c>
      <c r="AC222" s="196">
        <f t="shared" si="60"/>
        <v>0.969</v>
      </c>
    </row>
    <row r="223" hidden="1" spans="1:29">
      <c r="A223" s="181">
        <v>204</v>
      </c>
      <c r="B223" s="181" t="s">
        <v>481</v>
      </c>
      <c r="C223" s="181" t="s">
        <v>461</v>
      </c>
      <c r="D223" s="181" t="s">
        <v>482</v>
      </c>
      <c r="E223" s="206">
        <v>100</v>
      </c>
      <c r="F223" s="206">
        <v>2</v>
      </c>
      <c r="G223" s="206">
        <v>98</v>
      </c>
      <c r="H223" s="206">
        <v>0</v>
      </c>
      <c r="I223" s="185" t="str">
        <f t="shared" si="55"/>
        <v>在建</v>
      </c>
      <c r="J223" s="208">
        <v>98.5</v>
      </c>
      <c r="K223" s="209">
        <f t="shared" si="56"/>
        <v>96.5</v>
      </c>
      <c r="L223" s="186" t="s">
        <v>483</v>
      </c>
      <c r="M223" s="210">
        <v>44531</v>
      </c>
      <c r="N223" s="210">
        <v>44896</v>
      </c>
      <c r="O223" s="181" t="s">
        <v>464</v>
      </c>
      <c r="P223" s="181" t="s">
        <v>39</v>
      </c>
      <c r="Q223" s="181"/>
      <c r="R223" s="214" t="s">
        <v>465</v>
      </c>
      <c r="S223" s="193">
        <f t="shared" si="52"/>
        <v>0</v>
      </c>
      <c r="T223" s="193">
        <f t="shared" si="57"/>
        <v>0</v>
      </c>
      <c r="U223" s="175">
        <f t="shared" si="63"/>
        <v>0</v>
      </c>
      <c r="V223" s="175">
        <f t="shared" si="65"/>
        <v>0</v>
      </c>
      <c r="W223" s="175">
        <f t="shared" si="58"/>
        <v>12</v>
      </c>
      <c r="X223" s="175">
        <f t="shared" si="59"/>
        <v>6.5</v>
      </c>
      <c r="Y223" s="195">
        <f t="shared" si="64"/>
        <v>0.542</v>
      </c>
      <c r="Z223" s="195">
        <f t="shared" si="53"/>
        <v>0.985</v>
      </c>
      <c r="AA223" s="195">
        <f t="shared" si="54"/>
        <v>0.443</v>
      </c>
      <c r="AC223" s="196">
        <f t="shared" si="60"/>
        <v>0.985</v>
      </c>
    </row>
    <row r="224" hidden="1" spans="1:29">
      <c r="A224" s="181">
        <v>205</v>
      </c>
      <c r="B224" s="181" t="s">
        <v>484</v>
      </c>
      <c r="C224" s="181" t="s">
        <v>461</v>
      </c>
      <c r="D224" s="181" t="s">
        <v>485</v>
      </c>
      <c r="E224" s="206">
        <v>300</v>
      </c>
      <c r="F224" s="206">
        <v>14</v>
      </c>
      <c r="G224" s="206">
        <v>286</v>
      </c>
      <c r="H224" s="206">
        <v>0</v>
      </c>
      <c r="I224" s="185" t="str">
        <f t="shared" si="55"/>
        <v>在建</v>
      </c>
      <c r="J224" s="208">
        <v>175</v>
      </c>
      <c r="K224" s="209">
        <f t="shared" si="56"/>
        <v>161</v>
      </c>
      <c r="L224" s="186" t="s">
        <v>486</v>
      </c>
      <c r="M224" s="210">
        <v>44531</v>
      </c>
      <c r="N224" s="210">
        <v>44896</v>
      </c>
      <c r="O224" s="181" t="s">
        <v>464</v>
      </c>
      <c r="P224" s="181" t="s">
        <v>39</v>
      </c>
      <c r="Q224" s="181"/>
      <c r="R224" s="214" t="s">
        <v>465</v>
      </c>
      <c r="S224" s="193">
        <f t="shared" si="52"/>
        <v>0</v>
      </c>
      <c r="T224" s="193">
        <f t="shared" si="57"/>
        <v>0</v>
      </c>
      <c r="U224" s="175">
        <f t="shared" si="63"/>
        <v>0</v>
      </c>
      <c r="V224" s="175">
        <f t="shared" si="65"/>
        <v>0</v>
      </c>
      <c r="W224" s="175">
        <f t="shared" si="58"/>
        <v>12</v>
      </c>
      <c r="X224" s="175">
        <f t="shared" si="59"/>
        <v>6.5</v>
      </c>
      <c r="Y224" s="195">
        <f t="shared" si="64"/>
        <v>0.542</v>
      </c>
      <c r="Z224" s="195">
        <f t="shared" si="53"/>
        <v>0.563</v>
      </c>
      <c r="AA224" s="195">
        <f t="shared" si="54"/>
        <v>0.0209999999999999</v>
      </c>
      <c r="AC224" s="196">
        <f t="shared" si="60"/>
        <v>0.583</v>
      </c>
    </row>
    <row r="225" hidden="1" spans="1:29">
      <c r="A225" s="181">
        <v>206</v>
      </c>
      <c r="B225" s="181" t="s">
        <v>487</v>
      </c>
      <c r="C225" s="181" t="s">
        <v>488</v>
      </c>
      <c r="D225" s="181" t="s">
        <v>489</v>
      </c>
      <c r="E225" s="206">
        <v>20</v>
      </c>
      <c r="F225" s="206">
        <v>2.076</v>
      </c>
      <c r="G225" s="206">
        <v>17.924</v>
      </c>
      <c r="H225" s="206">
        <v>0</v>
      </c>
      <c r="I225" s="185" t="str">
        <f t="shared" si="55"/>
        <v>在建</v>
      </c>
      <c r="J225" s="208">
        <v>13.6759</v>
      </c>
      <c r="K225" s="209">
        <f t="shared" si="56"/>
        <v>11.5999</v>
      </c>
      <c r="L225" s="186" t="s">
        <v>490</v>
      </c>
      <c r="M225" s="210">
        <v>44500</v>
      </c>
      <c r="N225" s="210">
        <v>45261</v>
      </c>
      <c r="O225" s="181" t="s">
        <v>491</v>
      </c>
      <c r="P225" s="181" t="s">
        <v>39</v>
      </c>
      <c r="Q225" s="181"/>
      <c r="R225" s="214" t="s">
        <v>492</v>
      </c>
      <c r="S225" s="193">
        <f t="shared" si="52"/>
        <v>0</v>
      </c>
      <c r="T225" s="193">
        <f t="shared" si="57"/>
        <v>0</v>
      </c>
      <c r="U225" s="175">
        <f t="shared" si="63"/>
        <v>0</v>
      </c>
      <c r="V225" s="175">
        <f>IF(I225="完工","",-8)</f>
        <v>-8</v>
      </c>
      <c r="W225" s="175">
        <f t="shared" si="58"/>
        <v>20</v>
      </c>
      <c r="X225" s="175">
        <f t="shared" si="59"/>
        <v>6.5</v>
      </c>
      <c r="Y225" s="195">
        <f t="shared" si="64"/>
        <v>0.325</v>
      </c>
      <c r="Z225" s="195">
        <f t="shared" si="53"/>
        <v>0.647</v>
      </c>
      <c r="AA225" s="195">
        <f t="shared" si="54"/>
        <v>0.322</v>
      </c>
      <c r="AC225" s="196">
        <f t="shared" si="60"/>
        <v>0.684</v>
      </c>
    </row>
    <row r="226" hidden="1" spans="1:29">
      <c r="A226" s="181">
        <v>207</v>
      </c>
      <c r="B226" s="181" t="s">
        <v>493</v>
      </c>
      <c r="C226" s="181" t="s">
        <v>488</v>
      </c>
      <c r="D226" s="181" t="s">
        <v>494</v>
      </c>
      <c r="E226" s="206">
        <v>10</v>
      </c>
      <c r="F226" s="206">
        <v>2.247</v>
      </c>
      <c r="G226" s="206">
        <v>7.753</v>
      </c>
      <c r="H226" s="206">
        <v>0</v>
      </c>
      <c r="I226" s="185" t="str">
        <f t="shared" si="55"/>
        <v>完工</v>
      </c>
      <c r="J226" s="208">
        <v>10</v>
      </c>
      <c r="K226" s="209">
        <f t="shared" si="56"/>
        <v>7.753</v>
      </c>
      <c r="L226" s="186"/>
      <c r="M226" s="210">
        <v>44531</v>
      </c>
      <c r="N226" s="210" t="s">
        <v>495</v>
      </c>
      <c r="O226" s="181" t="s">
        <v>491</v>
      </c>
      <c r="P226" s="181" t="s">
        <v>39</v>
      </c>
      <c r="Q226" s="181"/>
      <c r="R226" s="214" t="s">
        <v>496</v>
      </c>
      <c r="S226" s="193">
        <f t="shared" si="52"/>
        <v>0</v>
      </c>
      <c r="T226" s="193" t="str">
        <f t="shared" si="57"/>
        <v/>
      </c>
      <c r="U226" s="175" t="str">
        <f t="shared" si="63"/>
        <v> </v>
      </c>
      <c r="V226" s="175" t="str">
        <f>IF(I226="完工","",-8)</f>
        <v/>
      </c>
      <c r="W226" s="175" t="str">
        <f t="shared" si="58"/>
        <v/>
      </c>
      <c r="X226" s="175" t="str">
        <f t="shared" si="59"/>
        <v/>
      </c>
      <c r="Y226" s="195" t="str">
        <f t="shared" si="64"/>
        <v/>
      </c>
      <c r="Z226" s="195" t="str">
        <f t="shared" si="53"/>
        <v/>
      </c>
      <c r="AA226" s="195" t="str">
        <f t="shared" si="54"/>
        <v/>
      </c>
      <c r="AC226" s="196" t="str">
        <f t="shared" si="60"/>
        <v/>
      </c>
    </row>
    <row r="227" hidden="1" spans="1:29">
      <c r="A227" s="181">
        <v>208</v>
      </c>
      <c r="B227" s="216" t="s">
        <v>497</v>
      </c>
      <c r="C227" s="181" t="s">
        <v>488</v>
      </c>
      <c r="D227" s="181" t="s">
        <v>498</v>
      </c>
      <c r="E227" s="206">
        <v>5</v>
      </c>
      <c r="F227" s="206">
        <v>0</v>
      </c>
      <c r="G227" s="206">
        <v>5</v>
      </c>
      <c r="H227" s="206">
        <v>0</v>
      </c>
      <c r="I227" s="185" t="str">
        <f t="shared" si="55"/>
        <v>完工</v>
      </c>
      <c r="J227" s="208">
        <v>5</v>
      </c>
      <c r="K227" s="209">
        <f t="shared" si="56"/>
        <v>5</v>
      </c>
      <c r="L227" s="186"/>
      <c r="M227" s="210">
        <v>44650</v>
      </c>
      <c r="N227" s="210" t="s">
        <v>495</v>
      </c>
      <c r="O227" s="181" t="s">
        <v>491</v>
      </c>
      <c r="P227" s="181" t="s">
        <v>39</v>
      </c>
      <c r="Q227" s="181"/>
      <c r="R227" s="186" t="s">
        <v>499</v>
      </c>
      <c r="S227" s="193">
        <f t="shared" si="52"/>
        <v>0</v>
      </c>
      <c r="T227" s="193" t="str">
        <f t="shared" si="57"/>
        <v/>
      </c>
      <c r="U227" s="175" t="str">
        <f>IF(I227="完工"," ",2)</f>
        <v> </v>
      </c>
      <c r="V227" s="175" t="str">
        <f t="shared" ref="V227" si="66">IF(I227="完工","",0)</f>
        <v/>
      </c>
      <c r="W227" s="175" t="str">
        <f t="shared" si="58"/>
        <v/>
      </c>
      <c r="X227" s="175" t="str">
        <f t="shared" si="59"/>
        <v/>
      </c>
      <c r="Y227" s="195" t="str">
        <f t="shared" si="64"/>
        <v/>
      </c>
      <c r="Z227" s="195" t="str">
        <f t="shared" si="53"/>
        <v/>
      </c>
      <c r="AA227" s="195" t="str">
        <f t="shared" si="54"/>
        <v/>
      </c>
      <c r="AC227" s="196" t="str">
        <f t="shared" si="60"/>
        <v/>
      </c>
    </row>
    <row r="228" hidden="1" spans="1:29">
      <c r="A228" s="181">
        <v>209</v>
      </c>
      <c r="B228" s="181" t="s">
        <v>500</v>
      </c>
      <c r="C228" s="181" t="s">
        <v>488</v>
      </c>
      <c r="D228" s="181" t="s">
        <v>501</v>
      </c>
      <c r="E228" s="206">
        <v>295</v>
      </c>
      <c r="F228" s="206">
        <v>44</v>
      </c>
      <c r="G228" s="206">
        <v>251</v>
      </c>
      <c r="H228" s="206">
        <v>0</v>
      </c>
      <c r="I228" s="185" t="str">
        <f t="shared" si="55"/>
        <v>完工</v>
      </c>
      <c r="J228" s="208">
        <v>295</v>
      </c>
      <c r="K228" s="209">
        <f t="shared" si="56"/>
        <v>251</v>
      </c>
      <c r="L228" s="186"/>
      <c r="M228" s="210">
        <v>44490</v>
      </c>
      <c r="N228" s="210">
        <v>45261</v>
      </c>
      <c r="O228" s="181" t="s">
        <v>491</v>
      </c>
      <c r="P228" s="181" t="s">
        <v>39</v>
      </c>
      <c r="Q228" s="181"/>
      <c r="R228" s="214" t="s">
        <v>502</v>
      </c>
      <c r="S228" s="193">
        <f t="shared" si="52"/>
        <v>0</v>
      </c>
      <c r="T228" s="193" t="str">
        <f t="shared" si="57"/>
        <v/>
      </c>
      <c r="U228" s="175" t="str">
        <f>IF(I228="完工"," ",0)</f>
        <v> </v>
      </c>
      <c r="V228" s="175" t="str">
        <f t="shared" ref="V228:V232" si="67">IF(I228="完工","",-8)</f>
        <v/>
      </c>
      <c r="W228" s="175" t="str">
        <f t="shared" si="58"/>
        <v/>
      </c>
      <c r="X228" s="175" t="str">
        <f t="shared" si="59"/>
        <v/>
      </c>
      <c r="Y228" s="195" t="str">
        <f t="shared" si="64"/>
        <v/>
      </c>
      <c r="Z228" s="195" t="str">
        <f t="shared" si="53"/>
        <v/>
      </c>
      <c r="AA228" s="195" t="str">
        <f t="shared" si="54"/>
        <v/>
      </c>
      <c r="AC228" s="196" t="str">
        <f t="shared" si="60"/>
        <v/>
      </c>
    </row>
    <row r="229" hidden="1" spans="1:29">
      <c r="A229" s="181">
        <v>210</v>
      </c>
      <c r="B229" s="181" t="s">
        <v>503</v>
      </c>
      <c r="C229" s="181" t="s">
        <v>488</v>
      </c>
      <c r="D229" s="181" t="s">
        <v>504</v>
      </c>
      <c r="E229" s="206">
        <v>21</v>
      </c>
      <c r="F229" s="206">
        <v>0</v>
      </c>
      <c r="G229" s="206">
        <v>21</v>
      </c>
      <c r="H229" s="206">
        <v>0</v>
      </c>
      <c r="I229" s="185" t="str">
        <f t="shared" si="55"/>
        <v>完工</v>
      </c>
      <c r="J229" s="208">
        <v>21</v>
      </c>
      <c r="K229" s="209">
        <f t="shared" si="56"/>
        <v>21</v>
      </c>
      <c r="L229" s="186"/>
      <c r="M229" s="210">
        <v>44560</v>
      </c>
      <c r="N229" s="210">
        <v>45261</v>
      </c>
      <c r="O229" s="181" t="s">
        <v>491</v>
      </c>
      <c r="P229" s="181" t="s">
        <v>39</v>
      </c>
      <c r="Q229" s="181"/>
      <c r="R229" s="214" t="s">
        <v>505</v>
      </c>
      <c r="S229" s="193">
        <f t="shared" si="52"/>
        <v>0</v>
      </c>
      <c r="T229" s="193" t="str">
        <f t="shared" si="57"/>
        <v/>
      </c>
      <c r="U229" s="175" t="str">
        <f>IF(I229="完工"," ",0)</f>
        <v> </v>
      </c>
      <c r="V229" s="175" t="str">
        <f t="shared" si="67"/>
        <v/>
      </c>
      <c r="W229" s="175" t="str">
        <f t="shared" si="58"/>
        <v/>
      </c>
      <c r="X229" s="175" t="str">
        <f t="shared" si="59"/>
        <v/>
      </c>
      <c r="Y229" s="195" t="str">
        <f t="shared" si="64"/>
        <v/>
      </c>
      <c r="Z229" s="195" t="str">
        <f t="shared" si="53"/>
        <v/>
      </c>
      <c r="AA229" s="195" t="str">
        <f t="shared" si="54"/>
        <v/>
      </c>
      <c r="AC229" s="196" t="str">
        <f t="shared" si="60"/>
        <v/>
      </c>
    </row>
    <row r="230" hidden="1" spans="1:29">
      <c r="A230" s="181">
        <v>211</v>
      </c>
      <c r="B230" s="181" t="s">
        <v>506</v>
      </c>
      <c r="C230" s="181" t="s">
        <v>488</v>
      </c>
      <c r="D230" s="181" t="s">
        <v>507</v>
      </c>
      <c r="E230" s="206">
        <v>5</v>
      </c>
      <c r="F230" s="206">
        <v>0.03</v>
      </c>
      <c r="G230" s="206">
        <v>4.97</v>
      </c>
      <c r="H230" s="206">
        <v>0</v>
      </c>
      <c r="I230" s="185" t="str">
        <f t="shared" si="55"/>
        <v>完工</v>
      </c>
      <c r="J230" s="208">
        <v>5</v>
      </c>
      <c r="K230" s="209">
        <f t="shared" si="56"/>
        <v>4.97</v>
      </c>
      <c r="L230" s="186" t="s">
        <v>490</v>
      </c>
      <c r="M230" s="210">
        <v>44560</v>
      </c>
      <c r="N230" s="210" t="s">
        <v>495</v>
      </c>
      <c r="O230" s="181" t="s">
        <v>491</v>
      </c>
      <c r="P230" s="181" t="s">
        <v>39</v>
      </c>
      <c r="Q230" s="181"/>
      <c r="R230" s="214" t="s">
        <v>508</v>
      </c>
      <c r="S230" s="193">
        <f t="shared" si="52"/>
        <v>0</v>
      </c>
      <c r="T230" s="193" t="str">
        <f t="shared" si="57"/>
        <v/>
      </c>
      <c r="U230" s="175" t="str">
        <f>IF(I230="完工"," ",0)</f>
        <v> </v>
      </c>
      <c r="V230" s="175" t="str">
        <f t="shared" si="67"/>
        <v/>
      </c>
      <c r="W230" s="175" t="str">
        <f t="shared" si="58"/>
        <v/>
      </c>
      <c r="X230" s="175" t="str">
        <f t="shared" si="59"/>
        <v/>
      </c>
      <c r="Y230" s="195" t="str">
        <f t="shared" si="64"/>
        <v/>
      </c>
      <c r="Z230" s="195" t="str">
        <f t="shared" si="53"/>
        <v/>
      </c>
      <c r="AA230" s="195" t="str">
        <f t="shared" si="54"/>
        <v/>
      </c>
      <c r="AC230" s="196" t="str">
        <f t="shared" si="60"/>
        <v/>
      </c>
    </row>
    <row r="231" hidden="1" spans="1:29">
      <c r="A231" s="181">
        <v>212</v>
      </c>
      <c r="B231" s="181" t="s">
        <v>509</v>
      </c>
      <c r="C231" s="181" t="s">
        <v>510</v>
      </c>
      <c r="D231" s="181" t="s">
        <v>511</v>
      </c>
      <c r="E231" s="206">
        <v>16640</v>
      </c>
      <c r="F231" s="206">
        <v>0</v>
      </c>
      <c r="G231" s="206">
        <v>16640</v>
      </c>
      <c r="H231" s="206">
        <v>0</v>
      </c>
      <c r="I231" s="185" t="str">
        <f t="shared" si="55"/>
        <v>在建</v>
      </c>
      <c r="J231" s="208">
        <v>13791</v>
      </c>
      <c r="K231" s="209">
        <f t="shared" si="56"/>
        <v>13791</v>
      </c>
      <c r="L231" s="186"/>
      <c r="M231" s="210" t="s">
        <v>512</v>
      </c>
      <c r="N231" s="210" t="s">
        <v>495</v>
      </c>
      <c r="O231" s="181" t="s">
        <v>513</v>
      </c>
      <c r="P231" s="181" t="s">
        <v>39</v>
      </c>
      <c r="Q231" s="181"/>
      <c r="R231" s="186" t="s">
        <v>465</v>
      </c>
      <c r="S231" s="193">
        <f t="shared" si="52"/>
        <v>0</v>
      </c>
      <c r="T231" s="193">
        <f t="shared" si="57"/>
        <v>0</v>
      </c>
      <c r="U231" s="175">
        <f t="shared" ref="U231:U232" si="68">IF(I231="完工"," ",2.7)</f>
        <v>2.7</v>
      </c>
      <c r="V231" s="175">
        <f t="shared" si="67"/>
        <v>-8</v>
      </c>
      <c r="W231" s="175">
        <f t="shared" si="58"/>
        <v>17.3</v>
      </c>
      <c r="X231" s="175">
        <f t="shared" si="59"/>
        <v>3.8</v>
      </c>
      <c r="Y231" s="195">
        <f t="shared" si="64"/>
        <v>0.22</v>
      </c>
      <c r="Z231" s="195">
        <f t="shared" si="53"/>
        <v>0.829</v>
      </c>
      <c r="AA231" s="195">
        <f t="shared" si="54"/>
        <v>0.609</v>
      </c>
      <c r="AC231" s="196">
        <f t="shared" si="60"/>
        <v>0.829</v>
      </c>
    </row>
    <row r="232" hidden="1" spans="1:29">
      <c r="A232" s="181">
        <v>213</v>
      </c>
      <c r="B232" s="181" t="s">
        <v>514</v>
      </c>
      <c r="C232" s="181" t="s">
        <v>510</v>
      </c>
      <c r="D232" s="181" t="s">
        <v>515</v>
      </c>
      <c r="E232" s="206">
        <v>14763</v>
      </c>
      <c r="F232" s="206">
        <v>0</v>
      </c>
      <c r="G232" s="206">
        <v>0</v>
      </c>
      <c r="H232" s="206">
        <v>14763.2</v>
      </c>
      <c r="I232" s="185" t="str">
        <f t="shared" si="55"/>
        <v>在建</v>
      </c>
      <c r="J232" s="208">
        <v>13285</v>
      </c>
      <c r="K232" s="209">
        <f>J232</f>
        <v>13285</v>
      </c>
      <c r="L232" s="186"/>
      <c r="M232" s="210" t="s">
        <v>516</v>
      </c>
      <c r="N232" s="210" t="s">
        <v>517</v>
      </c>
      <c r="O232" s="181" t="s">
        <v>513</v>
      </c>
      <c r="P232" s="181" t="s">
        <v>39</v>
      </c>
      <c r="Q232" s="181"/>
      <c r="R232" s="186" t="s">
        <v>518</v>
      </c>
      <c r="S232" s="193">
        <f t="shared" si="52"/>
        <v>-0.200000000000728</v>
      </c>
      <c r="T232" s="193">
        <f t="shared" si="57"/>
        <v>0</v>
      </c>
      <c r="U232" s="175">
        <f t="shared" si="68"/>
        <v>2.7</v>
      </c>
      <c r="V232" s="175">
        <f t="shared" si="67"/>
        <v>-8</v>
      </c>
      <c r="W232" s="175">
        <f t="shared" si="58"/>
        <v>17.3</v>
      </c>
      <c r="X232" s="175">
        <f t="shared" si="59"/>
        <v>3.8</v>
      </c>
      <c r="Y232" s="195">
        <f t="shared" si="64"/>
        <v>0.22</v>
      </c>
      <c r="Z232" s="195">
        <f>IF(I232="完工","",ROUND(K232/E232,3))</f>
        <v>0.9</v>
      </c>
      <c r="AA232" s="195">
        <f t="shared" si="54"/>
        <v>0.68</v>
      </c>
      <c r="AC232" s="196">
        <f t="shared" si="60"/>
        <v>0.9</v>
      </c>
    </row>
    <row r="233" hidden="1" spans="1:29">
      <c r="A233" s="181">
        <v>214</v>
      </c>
      <c r="B233" s="181" t="s">
        <v>519</v>
      </c>
      <c r="C233" s="181" t="s">
        <v>510</v>
      </c>
      <c r="D233" s="181" t="s">
        <v>520</v>
      </c>
      <c r="E233" s="206">
        <v>5635</v>
      </c>
      <c r="F233" s="206">
        <v>5635</v>
      </c>
      <c r="G233" s="206">
        <v>0</v>
      </c>
      <c r="H233" s="206">
        <v>0</v>
      </c>
      <c r="I233" s="185" t="str">
        <f t="shared" si="55"/>
        <v>完工</v>
      </c>
      <c r="J233" s="208">
        <v>5635</v>
      </c>
      <c r="K233" s="209">
        <f>J233</f>
        <v>5635</v>
      </c>
      <c r="L233" s="186"/>
      <c r="M233" s="210" t="s">
        <v>521</v>
      </c>
      <c r="N233" s="210" t="s">
        <v>512</v>
      </c>
      <c r="O233" s="181" t="s">
        <v>513</v>
      </c>
      <c r="P233" s="181" t="s">
        <v>39</v>
      </c>
      <c r="Q233" s="181"/>
      <c r="R233" s="186" t="s">
        <v>522</v>
      </c>
      <c r="S233" s="193">
        <f t="shared" si="52"/>
        <v>0</v>
      </c>
      <c r="T233" s="193" t="str">
        <f t="shared" si="57"/>
        <v/>
      </c>
      <c r="U233" s="175" t="str">
        <f>IF(I233="完工"," ",0)</f>
        <v> </v>
      </c>
      <c r="V233" s="175" t="str">
        <f>IF(I233="完工","",6)</f>
        <v/>
      </c>
      <c r="W233" s="175" t="str">
        <f t="shared" si="58"/>
        <v/>
      </c>
      <c r="X233" s="175" t="str">
        <f t="shared" si="59"/>
        <v/>
      </c>
      <c r="Y233" s="195" t="str">
        <f t="shared" si="64"/>
        <v/>
      </c>
      <c r="Z233" s="195" t="str">
        <f>IF(I233="完工","",ROUND(K233/F233,3))</f>
        <v/>
      </c>
      <c r="AA233" s="195" t="str">
        <f t="shared" si="54"/>
        <v/>
      </c>
      <c r="AC233" s="196" t="str">
        <f t="shared" si="60"/>
        <v/>
      </c>
    </row>
    <row r="234" hidden="1" spans="1:29">
      <c r="A234" s="181">
        <v>215</v>
      </c>
      <c r="B234" s="181" t="s">
        <v>523</v>
      </c>
      <c r="C234" s="181" t="s">
        <v>510</v>
      </c>
      <c r="D234" s="181" t="s">
        <v>524</v>
      </c>
      <c r="E234" s="206">
        <v>998</v>
      </c>
      <c r="F234" s="206">
        <v>998</v>
      </c>
      <c r="G234" s="206">
        <v>0</v>
      </c>
      <c r="H234" s="206">
        <v>0</v>
      </c>
      <c r="I234" s="185" t="str">
        <f t="shared" si="55"/>
        <v>完工</v>
      </c>
      <c r="J234" s="208">
        <v>998</v>
      </c>
      <c r="K234" s="209" t="str">
        <f t="shared" si="56"/>
        <v/>
      </c>
      <c r="L234" s="186"/>
      <c r="M234" s="210" t="s">
        <v>521</v>
      </c>
      <c r="N234" s="210" t="s">
        <v>525</v>
      </c>
      <c r="O234" s="181" t="s">
        <v>513</v>
      </c>
      <c r="P234" s="181" t="s">
        <v>39</v>
      </c>
      <c r="Q234" s="181"/>
      <c r="R234" s="186" t="s">
        <v>526</v>
      </c>
      <c r="S234" s="193">
        <f t="shared" si="52"/>
        <v>0</v>
      </c>
      <c r="T234" s="193" t="str">
        <f t="shared" si="57"/>
        <v/>
      </c>
      <c r="U234" s="175" t="str">
        <f>IF(I234="完工"," ",0)</f>
        <v> </v>
      </c>
      <c r="V234" s="175" t="str">
        <f>IF(I234="完工","",12)</f>
        <v/>
      </c>
      <c r="W234" s="175" t="str">
        <f t="shared" si="58"/>
        <v/>
      </c>
      <c r="X234" s="175" t="str">
        <f t="shared" si="59"/>
        <v/>
      </c>
      <c r="Y234" s="195" t="str">
        <f t="shared" si="64"/>
        <v/>
      </c>
      <c r="Z234" s="195" t="str">
        <f t="shared" si="53"/>
        <v/>
      </c>
      <c r="AA234" s="195" t="str">
        <f t="shared" si="54"/>
        <v/>
      </c>
      <c r="AC234" s="196" t="str">
        <f t="shared" si="60"/>
        <v/>
      </c>
    </row>
    <row r="235" hidden="1" spans="1:29">
      <c r="A235" s="181">
        <v>216</v>
      </c>
      <c r="B235" s="181" t="s">
        <v>527</v>
      </c>
      <c r="C235" s="181" t="s">
        <v>510</v>
      </c>
      <c r="D235" s="181" t="s">
        <v>528</v>
      </c>
      <c r="E235" s="206">
        <v>29648</v>
      </c>
      <c r="F235" s="206">
        <v>0</v>
      </c>
      <c r="G235" s="206">
        <v>29648</v>
      </c>
      <c r="H235" s="206">
        <v>0</v>
      </c>
      <c r="I235" s="185" t="str">
        <f t="shared" si="55"/>
        <v>在建</v>
      </c>
      <c r="J235" s="208">
        <v>24150</v>
      </c>
      <c r="K235" s="209">
        <f t="shared" si="56"/>
        <v>24150</v>
      </c>
      <c r="L235" s="186"/>
      <c r="M235" s="210">
        <v>44713</v>
      </c>
      <c r="N235" s="210" t="s">
        <v>495</v>
      </c>
      <c r="O235" s="181" t="s">
        <v>513</v>
      </c>
      <c r="P235" s="181" t="s">
        <v>33</v>
      </c>
      <c r="Q235" s="181"/>
      <c r="R235" s="186" t="s">
        <v>465</v>
      </c>
      <c r="S235" s="193">
        <f t="shared" si="52"/>
        <v>0</v>
      </c>
      <c r="T235" s="193">
        <f t="shared" si="57"/>
        <v>0</v>
      </c>
      <c r="U235" s="175">
        <f>IF(I235="完工"," ",2.7)</f>
        <v>2.7</v>
      </c>
      <c r="V235" s="175">
        <f>IF(I235="完工","",-8)</f>
        <v>-8</v>
      </c>
      <c r="W235" s="175">
        <f t="shared" si="58"/>
        <v>17.3</v>
      </c>
      <c r="X235" s="175">
        <f t="shared" si="59"/>
        <v>3.8</v>
      </c>
      <c r="Y235" s="195">
        <f t="shared" si="64"/>
        <v>0.22</v>
      </c>
      <c r="Z235" s="195">
        <f t="shared" si="53"/>
        <v>0.815</v>
      </c>
      <c r="AA235" s="195">
        <f t="shared" si="54"/>
        <v>0.595</v>
      </c>
      <c r="AC235" s="196">
        <f t="shared" si="60"/>
        <v>0.815</v>
      </c>
    </row>
    <row r="236" hidden="1" spans="1:29">
      <c r="A236" s="181">
        <v>217</v>
      </c>
      <c r="B236" s="181" t="s">
        <v>529</v>
      </c>
      <c r="C236" s="181" t="s">
        <v>510</v>
      </c>
      <c r="D236" s="181" t="s">
        <v>530</v>
      </c>
      <c r="E236" s="206">
        <v>488</v>
      </c>
      <c r="F236" s="206">
        <v>488</v>
      </c>
      <c r="G236" s="206">
        <v>0</v>
      </c>
      <c r="H236" s="206">
        <v>0</v>
      </c>
      <c r="I236" s="185" t="str">
        <f t="shared" si="55"/>
        <v>完工</v>
      </c>
      <c r="J236" s="208">
        <v>488</v>
      </c>
      <c r="K236" s="209" t="str">
        <f t="shared" si="56"/>
        <v/>
      </c>
      <c r="L236" s="186"/>
      <c r="M236" s="210">
        <v>44440</v>
      </c>
      <c r="N236" s="210" t="s">
        <v>525</v>
      </c>
      <c r="O236" s="181" t="s">
        <v>513</v>
      </c>
      <c r="P236" s="181" t="s">
        <v>33</v>
      </c>
      <c r="Q236" s="181"/>
      <c r="R236" s="186" t="s">
        <v>526</v>
      </c>
      <c r="S236" s="193">
        <f t="shared" si="52"/>
        <v>0</v>
      </c>
      <c r="T236" s="193" t="str">
        <f t="shared" si="57"/>
        <v/>
      </c>
      <c r="U236" s="175" t="str">
        <f>IF(I236="完工"," ",0)</f>
        <v> </v>
      </c>
      <c r="V236" s="175" t="str">
        <f>IF(I236="完工","",12)</f>
        <v/>
      </c>
      <c r="W236" s="175" t="str">
        <f t="shared" si="58"/>
        <v/>
      </c>
      <c r="X236" s="175" t="str">
        <f t="shared" si="59"/>
        <v/>
      </c>
      <c r="Y236" s="195" t="str">
        <f t="shared" si="64"/>
        <v/>
      </c>
      <c r="Z236" s="195" t="str">
        <f t="shared" si="53"/>
        <v/>
      </c>
      <c r="AA236" s="195" t="str">
        <f t="shared" si="54"/>
        <v/>
      </c>
      <c r="AC236" s="196" t="str">
        <f t="shared" si="60"/>
        <v/>
      </c>
    </row>
    <row r="237" hidden="1" spans="1:29">
      <c r="A237" s="181">
        <v>218</v>
      </c>
      <c r="B237" s="181" t="s">
        <v>531</v>
      </c>
      <c r="C237" s="181" t="s">
        <v>510</v>
      </c>
      <c r="D237" s="181" t="s">
        <v>532</v>
      </c>
      <c r="E237" s="206">
        <v>1568</v>
      </c>
      <c r="F237" s="206">
        <v>0</v>
      </c>
      <c r="G237" s="206">
        <v>1568</v>
      </c>
      <c r="H237" s="206">
        <v>0</v>
      </c>
      <c r="I237" s="185" t="str">
        <f t="shared" si="55"/>
        <v>在建</v>
      </c>
      <c r="J237" s="208">
        <v>1331</v>
      </c>
      <c r="K237" s="209">
        <f t="shared" si="56"/>
        <v>1331</v>
      </c>
      <c r="L237" s="186"/>
      <c r="M237" s="210">
        <v>44713</v>
      </c>
      <c r="N237" s="210" t="s">
        <v>495</v>
      </c>
      <c r="O237" s="181" t="s">
        <v>513</v>
      </c>
      <c r="P237" s="181" t="s">
        <v>45</v>
      </c>
      <c r="Q237" s="181"/>
      <c r="R237" s="186" t="s">
        <v>465</v>
      </c>
      <c r="S237" s="193">
        <f t="shared" si="52"/>
        <v>0</v>
      </c>
      <c r="T237" s="193">
        <f t="shared" si="57"/>
        <v>0</v>
      </c>
      <c r="U237" s="175">
        <f t="shared" ref="U237:U238" si="69">IF(I237="完工"," ",2.7)</f>
        <v>2.7</v>
      </c>
      <c r="V237" s="175">
        <f t="shared" ref="V237:V238" si="70">IF(I237="完工","",-8)</f>
        <v>-8</v>
      </c>
      <c r="W237" s="175">
        <f t="shared" si="58"/>
        <v>17.3</v>
      </c>
      <c r="X237" s="175">
        <f t="shared" si="59"/>
        <v>3.8</v>
      </c>
      <c r="Y237" s="195">
        <f t="shared" si="64"/>
        <v>0.22</v>
      </c>
      <c r="Z237" s="195">
        <f t="shared" si="53"/>
        <v>0.849</v>
      </c>
      <c r="AA237" s="195">
        <f t="shared" si="54"/>
        <v>0.629</v>
      </c>
      <c r="AC237" s="196">
        <f t="shared" si="60"/>
        <v>0.849</v>
      </c>
    </row>
    <row r="238" hidden="1" spans="1:29">
      <c r="A238" s="181">
        <v>219</v>
      </c>
      <c r="B238" s="181" t="s">
        <v>533</v>
      </c>
      <c r="C238" s="181" t="s">
        <v>510</v>
      </c>
      <c r="D238" s="181" t="s">
        <v>534</v>
      </c>
      <c r="E238" s="206">
        <v>7360</v>
      </c>
      <c r="F238" s="206">
        <v>0</v>
      </c>
      <c r="G238" s="206">
        <v>7360</v>
      </c>
      <c r="H238" s="206">
        <v>0</v>
      </c>
      <c r="I238" s="185" t="str">
        <f t="shared" si="55"/>
        <v>在建</v>
      </c>
      <c r="J238" s="208">
        <v>5478</v>
      </c>
      <c r="K238" s="209">
        <f t="shared" si="56"/>
        <v>5478</v>
      </c>
      <c r="L238" s="186"/>
      <c r="M238" s="210">
        <v>44713</v>
      </c>
      <c r="N238" s="210" t="s">
        <v>495</v>
      </c>
      <c r="O238" s="181" t="s">
        <v>513</v>
      </c>
      <c r="P238" s="181" t="s">
        <v>36</v>
      </c>
      <c r="Q238" s="181"/>
      <c r="R238" s="186" t="s">
        <v>465</v>
      </c>
      <c r="S238" s="193">
        <f t="shared" si="52"/>
        <v>0</v>
      </c>
      <c r="T238" s="193">
        <f t="shared" si="57"/>
        <v>0</v>
      </c>
      <c r="U238" s="175">
        <f t="shared" si="69"/>
        <v>2.7</v>
      </c>
      <c r="V238" s="175">
        <f t="shared" si="70"/>
        <v>-8</v>
      </c>
      <c r="W238" s="175">
        <f t="shared" si="58"/>
        <v>17.3</v>
      </c>
      <c r="X238" s="175">
        <f t="shared" si="59"/>
        <v>3.8</v>
      </c>
      <c r="Y238" s="195">
        <f t="shared" si="64"/>
        <v>0.22</v>
      </c>
      <c r="Z238" s="195">
        <f t="shared" si="53"/>
        <v>0.744</v>
      </c>
      <c r="AA238" s="195">
        <f t="shared" si="54"/>
        <v>0.524</v>
      </c>
      <c r="AC238" s="196">
        <f t="shared" si="60"/>
        <v>0.744</v>
      </c>
    </row>
    <row r="239" hidden="1" spans="1:29">
      <c r="A239" s="181">
        <v>220</v>
      </c>
      <c r="B239" s="181" t="s">
        <v>535</v>
      </c>
      <c r="C239" s="181" t="s">
        <v>510</v>
      </c>
      <c r="D239" s="181" t="s">
        <v>536</v>
      </c>
      <c r="E239" s="206">
        <v>327.84</v>
      </c>
      <c r="F239" s="206">
        <v>327.84</v>
      </c>
      <c r="G239" s="206">
        <v>0</v>
      </c>
      <c r="H239" s="206">
        <v>0</v>
      </c>
      <c r="I239" s="185" t="str">
        <f t="shared" si="55"/>
        <v>完工</v>
      </c>
      <c r="J239" s="208">
        <v>327.84</v>
      </c>
      <c r="K239" s="209">
        <f>J239</f>
        <v>327.84</v>
      </c>
      <c r="L239" s="186"/>
      <c r="M239" s="210">
        <v>44440</v>
      </c>
      <c r="N239" s="210" t="s">
        <v>512</v>
      </c>
      <c r="O239" s="181" t="s">
        <v>513</v>
      </c>
      <c r="P239" s="181" t="s">
        <v>36</v>
      </c>
      <c r="Q239" s="181"/>
      <c r="R239" s="186" t="s">
        <v>522</v>
      </c>
      <c r="S239" s="193">
        <f t="shared" si="52"/>
        <v>0</v>
      </c>
      <c r="T239" s="193" t="str">
        <f t="shared" si="57"/>
        <v/>
      </c>
      <c r="U239" s="175" t="str">
        <f>IF(I239="完工"," ",0)</f>
        <v> </v>
      </c>
      <c r="V239" s="175" t="str">
        <f>IF(I239="完工","",6)</f>
        <v/>
      </c>
      <c r="W239" s="175" t="str">
        <f t="shared" si="58"/>
        <v/>
      </c>
      <c r="X239" s="175" t="str">
        <f t="shared" si="59"/>
        <v/>
      </c>
      <c r="Y239" s="195" t="str">
        <f t="shared" si="64"/>
        <v/>
      </c>
      <c r="Z239" s="195" t="str">
        <f t="shared" si="53"/>
        <v/>
      </c>
      <c r="AA239" s="195" t="str">
        <f t="shared" si="54"/>
        <v/>
      </c>
      <c r="AC239" s="196" t="str">
        <f t="shared" si="60"/>
        <v/>
      </c>
    </row>
    <row r="240" hidden="1" spans="1:29">
      <c r="A240" s="181">
        <v>221</v>
      </c>
      <c r="B240" s="181" t="s">
        <v>537</v>
      </c>
      <c r="C240" s="181" t="s">
        <v>510</v>
      </c>
      <c r="D240" s="181" t="s">
        <v>538</v>
      </c>
      <c r="E240" s="206">
        <v>34.16</v>
      </c>
      <c r="F240" s="206">
        <v>34.16</v>
      </c>
      <c r="G240" s="206">
        <v>0</v>
      </c>
      <c r="H240" s="206">
        <v>0</v>
      </c>
      <c r="I240" s="185" t="str">
        <f t="shared" si="55"/>
        <v>完工</v>
      </c>
      <c r="J240" s="208">
        <v>34.16</v>
      </c>
      <c r="K240" s="209" t="str">
        <f t="shared" si="56"/>
        <v/>
      </c>
      <c r="L240" s="186"/>
      <c r="M240" s="210">
        <v>44440</v>
      </c>
      <c r="N240" s="210" t="s">
        <v>525</v>
      </c>
      <c r="O240" s="181" t="s">
        <v>513</v>
      </c>
      <c r="P240" s="181" t="s">
        <v>36</v>
      </c>
      <c r="Q240" s="181"/>
      <c r="R240" s="186" t="s">
        <v>526</v>
      </c>
      <c r="S240" s="193">
        <f t="shared" si="52"/>
        <v>0</v>
      </c>
      <c r="T240" s="193" t="str">
        <f t="shared" si="57"/>
        <v/>
      </c>
      <c r="U240" s="175" t="str">
        <f>IF(I240="完工"," ",0)</f>
        <v> </v>
      </c>
      <c r="V240" s="175" t="str">
        <f>IF(I240="完工","",12)</f>
        <v/>
      </c>
      <c r="W240" s="175" t="str">
        <f t="shared" si="58"/>
        <v/>
      </c>
      <c r="X240" s="175" t="str">
        <f t="shared" si="59"/>
        <v/>
      </c>
      <c r="Y240" s="195" t="str">
        <f t="shared" si="64"/>
        <v/>
      </c>
      <c r="Z240" s="195" t="str">
        <f t="shared" si="53"/>
        <v/>
      </c>
      <c r="AA240" s="195" t="str">
        <f t="shared" si="54"/>
        <v/>
      </c>
      <c r="AC240" s="196" t="str">
        <f t="shared" si="60"/>
        <v/>
      </c>
    </row>
    <row r="241" hidden="1" spans="1:29">
      <c r="A241" s="181">
        <v>222</v>
      </c>
      <c r="B241" s="181" t="s">
        <v>539</v>
      </c>
      <c r="C241" s="181" t="s">
        <v>510</v>
      </c>
      <c r="D241" s="181" t="s">
        <v>540</v>
      </c>
      <c r="E241" s="206">
        <v>38400</v>
      </c>
      <c r="F241" s="206">
        <v>0</v>
      </c>
      <c r="G241" s="206">
        <v>38400</v>
      </c>
      <c r="H241" s="206">
        <v>0</v>
      </c>
      <c r="I241" s="185" t="str">
        <f t="shared" si="55"/>
        <v>在建</v>
      </c>
      <c r="J241" s="208">
        <v>30743</v>
      </c>
      <c r="K241" s="209">
        <f t="shared" si="56"/>
        <v>30743</v>
      </c>
      <c r="L241" s="186"/>
      <c r="M241" s="210">
        <v>44713</v>
      </c>
      <c r="N241" s="210" t="s">
        <v>495</v>
      </c>
      <c r="O241" s="181" t="s">
        <v>513</v>
      </c>
      <c r="P241" s="181" t="s">
        <v>42</v>
      </c>
      <c r="Q241" s="181"/>
      <c r="R241" s="186" t="s">
        <v>465</v>
      </c>
      <c r="S241" s="193">
        <f t="shared" si="52"/>
        <v>0</v>
      </c>
      <c r="T241" s="193">
        <f t="shared" si="57"/>
        <v>0</v>
      </c>
      <c r="U241" s="175">
        <f>IF(I241="完工"," ",2.7)</f>
        <v>2.7</v>
      </c>
      <c r="V241" s="175">
        <f>IF(I241="完工","",-8)</f>
        <v>-8</v>
      </c>
      <c r="W241" s="175">
        <f t="shared" si="58"/>
        <v>17.3</v>
      </c>
      <c r="X241" s="175">
        <f t="shared" si="59"/>
        <v>3.8</v>
      </c>
      <c r="Y241" s="195">
        <f t="shared" si="64"/>
        <v>0.22</v>
      </c>
      <c r="Z241" s="195">
        <f t="shared" si="53"/>
        <v>0.801</v>
      </c>
      <c r="AA241" s="195">
        <f t="shared" si="54"/>
        <v>0.581</v>
      </c>
      <c r="AC241" s="196">
        <f t="shared" si="60"/>
        <v>0.801</v>
      </c>
    </row>
    <row r="242" hidden="1" spans="1:29">
      <c r="A242" s="181">
        <v>223</v>
      </c>
      <c r="B242" s="181" t="s">
        <v>541</v>
      </c>
      <c r="C242" s="181" t="s">
        <v>510</v>
      </c>
      <c r="D242" s="181" t="s">
        <v>542</v>
      </c>
      <c r="E242" s="206">
        <v>3000</v>
      </c>
      <c r="F242" s="206">
        <v>3000</v>
      </c>
      <c r="G242" s="206">
        <v>0</v>
      </c>
      <c r="H242" s="206">
        <v>0</v>
      </c>
      <c r="I242" s="185" t="str">
        <f t="shared" si="55"/>
        <v>完工</v>
      </c>
      <c r="J242" s="208">
        <v>3000</v>
      </c>
      <c r="K242" s="209" t="str">
        <f t="shared" si="56"/>
        <v/>
      </c>
      <c r="L242" s="186"/>
      <c r="M242" s="210">
        <v>44440</v>
      </c>
      <c r="N242" s="210" t="s">
        <v>525</v>
      </c>
      <c r="O242" s="181" t="s">
        <v>513</v>
      </c>
      <c r="P242" s="181" t="s">
        <v>42</v>
      </c>
      <c r="Q242" s="181"/>
      <c r="R242" s="186" t="s">
        <v>526</v>
      </c>
      <c r="S242" s="193">
        <f t="shared" si="52"/>
        <v>0</v>
      </c>
      <c r="T242" s="193" t="str">
        <f t="shared" si="57"/>
        <v/>
      </c>
      <c r="U242" s="175" t="str">
        <f t="shared" ref="U242:U254" si="71">IF(I242="完工"," ",0)</f>
        <v> </v>
      </c>
      <c r="V242" s="175" t="str">
        <f>IF(I242="完工","",12)</f>
        <v/>
      </c>
      <c r="W242" s="175" t="str">
        <f t="shared" si="58"/>
        <v/>
      </c>
      <c r="X242" s="175" t="str">
        <f t="shared" si="59"/>
        <v/>
      </c>
      <c r="Y242" s="195" t="str">
        <f t="shared" si="64"/>
        <v/>
      </c>
      <c r="Z242" s="195" t="str">
        <f t="shared" si="53"/>
        <v/>
      </c>
      <c r="AA242" s="195" t="str">
        <f t="shared" si="54"/>
        <v/>
      </c>
      <c r="AC242" s="196" t="str">
        <f t="shared" si="60"/>
        <v/>
      </c>
    </row>
    <row r="243" hidden="1" spans="1:29">
      <c r="A243" s="181">
        <v>224</v>
      </c>
      <c r="B243" s="181" t="s">
        <v>543</v>
      </c>
      <c r="C243" s="181" t="s">
        <v>544</v>
      </c>
      <c r="D243" s="181" t="s">
        <v>545</v>
      </c>
      <c r="E243" s="206">
        <v>43</v>
      </c>
      <c r="F243" s="206">
        <v>10.25</v>
      </c>
      <c r="G243" s="206">
        <v>32.75</v>
      </c>
      <c r="H243" s="206">
        <v>0</v>
      </c>
      <c r="I243" s="185" t="str">
        <f t="shared" si="55"/>
        <v>完工</v>
      </c>
      <c r="J243" s="208">
        <v>43</v>
      </c>
      <c r="K243" s="209">
        <f t="shared" si="56"/>
        <v>32.75</v>
      </c>
      <c r="L243" s="186"/>
      <c r="M243" s="210">
        <v>44470</v>
      </c>
      <c r="N243" s="210">
        <v>44896</v>
      </c>
      <c r="O243" s="181" t="s">
        <v>546</v>
      </c>
      <c r="P243" s="181" t="s">
        <v>39</v>
      </c>
      <c r="Q243" s="181"/>
      <c r="R243" s="186"/>
      <c r="S243" s="193">
        <f t="shared" si="52"/>
        <v>0</v>
      </c>
      <c r="T243" s="193" t="str">
        <f t="shared" si="57"/>
        <v/>
      </c>
      <c r="U243" s="175" t="str">
        <f t="shared" si="71"/>
        <v> </v>
      </c>
      <c r="V243" s="175" t="str">
        <f t="shared" ref="V243:V244" si="72">IF(I243="完工","",0)</f>
        <v/>
      </c>
      <c r="W243" s="175" t="str">
        <f t="shared" si="58"/>
        <v/>
      </c>
      <c r="X243" s="175" t="str">
        <f t="shared" si="59"/>
        <v/>
      </c>
      <c r="Y243" s="195" t="str">
        <f t="shared" si="64"/>
        <v/>
      </c>
      <c r="Z243" s="195" t="str">
        <f t="shared" si="53"/>
        <v/>
      </c>
      <c r="AA243" s="195" t="str">
        <f t="shared" si="54"/>
        <v/>
      </c>
      <c r="AC243" s="196" t="str">
        <f t="shared" si="60"/>
        <v/>
      </c>
    </row>
    <row r="244" hidden="1" spans="1:29">
      <c r="A244" s="181">
        <v>225</v>
      </c>
      <c r="B244" s="181" t="s">
        <v>547</v>
      </c>
      <c r="C244" s="181" t="s">
        <v>544</v>
      </c>
      <c r="D244" s="181" t="s">
        <v>548</v>
      </c>
      <c r="E244" s="206">
        <v>1448.9</v>
      </c>
      <c r="F244" s="206">
        <v>1000</v>
      </c>
      <c r="G244" s="206">
        <v>448.9</v>
      </c>
      <c r="H244" s="206">
        <v>0</v>
      </c>
      <c r="I244" s="185" t="str">
        <f t="shared" si="55"/>
        <v>完工</v>
      </c>
      <c r="J244" s="208">
        <v>1448.9</v>
      </c>
      <c r="K244" s="209">
        <f t="shared" si="56"/>
        <v>448.9</v>
      </c>
      <c r="L244" s="186"/>
      <c r="M244" s="210">
        <v>44520</v>
      </c>
      <c r="N244" s="210">
        <v>44926</v>
      </c>
      <c r="O244" s="181" t="s">
        <v>546</v>
      </c>
      <c r="P244" s="181" t="s">
        <v>39</v>
      </c>
      <c r="Q244" s="181"/>
      <c r="R244" s="186" t="s">
        <v>549</v>
      </c>
      <c r="S244" s="193">
        <f t="shared" si="52"/>
        <v>1.13686837721616e-13</v>
      </c>
      <c r="T244" s="193" t="str">
        <f t="shared" si="57"/>
        <v/>
      </c>
      <c r="U244" s="175" t="str">
        <f t="shared" si="71"/>
        <v> </v>
      </c>
      <c r="V244" s="175" t="str">
        <f t="shared" si="72"/>
        <v/>
      </c>
      <c r="W244" s="175" t="str">
        <f t="shared" si="58"/>
        <v/>
      </c>
      <c r="X244" s="175" t="str">
        <f t="shared" si="59"/>
        <v/>
      </c>
      <c r="Y244" s="195" t="str">
        <f t="shared" si="64"/>
        <v/>
      </c>
      <c r="Z244" s="195" t="str">
        <f t="shared" si="53"/>
        <v/>
      </c>
      <c r="AA244" s="195" t="str">
        <f t="shared" si="54"/>
        <v/>
      </c>
      <c r="AC244" s="196" t="str">
        <f t="shared" si="60"/>
        <v/>
      </c>
    </row>
    <row r="245" hidden="1" spans="1:29">
      <c r="A245" s="181">
        <v>226</v>
      </c>
      <c r="B245" s="181" t="s">
        <v>550</v>
      </c>
      <c r="C245" s="181" t="s">
        <v>551</v>
      </c>
      <c r="D245" s="181" t="s">
        <v>552</v>
      </c>
      <c r="E245" s="206">
        <v>4000</v>
      </c>
      <c r="F245" s="206">
        <v>3200</v>
      </c>
      <c r="G245" s="206">
        <v>800</v>
      </c>
      <c r="H245" s="206">
        <v>0</v>
      </c>
      <c r="I245" s="185" t="str">
        <f t="shared" si="55"/>
        <v>完工</v>
      </c>
      <c r="J245" s="208">
        <v>4000</v>
      </c>
      <c r="K245" s="209">
        <f t="shared" si="56"/>
        <v>800</v>
      </c>
      <c r="L245" s="186"/>
      <c r="M245" s="210">
        <v>44501</v>
      </c>
      <c r="N245" s="210">
        <v>44865</v>
      </c>
      <c r="O245" s="181" t="s">
        <v>553</v>
      </c>
      <c r="P245" s="181" t="s">
        <v>45</v>
      </c>
      <c r="Q245" s="181"/>
      <c r="R245" s="186"/>
      <c r="S245" s="193">
        <f t="shared" si="52"/>
        <v>0</v>
      </c>
      <c r="T245" s="193" t="str">
        <f t="shared" si="57"/>
        <v/>
      </c>
      <c r="U245" s="175" t="str">
        <f t="shared" si="71"/>
        <v> </v>
      </c>
      <c r="V245" s="175" t="str">
        <f>IF(I245="完工","",2)</f>
        <v/>
      </c>
      <c r="W245" s="175" t="str">
        <f t="shared" si="58"/>
        <v/>
      </c>
      <c r="X245" s="175" t="str">
        <f t="shared" si="59"/>
        <v/>
      </c>
      <c r="Y245" s="195" t="str">
        <f t="shared" si="64"/>
        <v/>
      </c>
      <c r="Z245" s="195" t="str">
        <f t="shared" si="53"/>
        <v/>
      </c>
      <c r="AA245" s="195" t="str">
        <f t="shared" si="54"/>
        <v/>
      </c>
      <c r="AC245" s="196" t="str">
        <f t="shared" si="60"/>
        <v/>
      </c>
    </row>
    <row r="246" hidden="1" spans="1:29">
      <c r="A246" s="181">
        <v>227</v>
      </c>
      <c r="B246" s="181" t="s">
        <v>554</v>
      </c>
      <c r="C246" s="181" t="s">
        <v>551</v>
      </c>
      <c r="D246" s="181" t="s">
        <v>555</v>
      </c>
      <c r="E246" s="206">
        <v>13183.31</v>
      </c>
      <c r="F246" s="206">
        <v>5800</v>
      </c>
      <c r="G246" s="206">
        <v>7383.31</v>
      </c>
      <c r="H246" s="206">
        <v>0</v>
      </c>
      <c r="I246" s="185" t="str">
        <f t="shared" si="55"/>
        <v>完工</v>
      </c>
      <c r="J246" s="208">
        <v>13183.31</v>
      </c>
      <c r="K246" s="209">
        <f t="shared" si="56"/>
        <v>7383.31</v>
      </c>
      <c r="L246" s="186" t="s">
        <v>556</v>
      </c>
      <c r="M246" s="210">
        <v>44348</v>
      </c>
      <c r="N246" s="210">
        <v>44896</v>
      </c>
      <c r="O246" s="181" t="s">
        <v>553</v>
      </c>
      <c r="P246" s="181" t="s">
        <v>132</v>
      </c>
      <c r="Q246" s="181"/>
      <c r="R246" s="186"/>
      <c r="S246" s="193">
        <v>0</v>
      </c>
      <c r="T246" s="193" t="str">
        <f t="shared" si="57"/>
        <v/>
      </c>
      <c r="U246" s="175" t="str">
        <f t="shared" si="71"/>
        <v> </v>
      </c>
      <c r="V246" s="175" t="str">
        <f t="shared" ref="V246:V247" si="73">IF(I246="完工","",0)</f>
        <v/>
      </c>
      <c r="W246" s="175" t="str">
        <f t="shared" si="58"/>
        <v/>
      </c>
      <c r="X246" s="175" t="str">
        <f t="shared" si="59"/>
        <v/>
      </c>
      <c r="Y246" s="195" t="str">
        <f t="shared" si="64"/>
        <v/>
      </c>
      <c r="Z246" s="195" t="str">
        <f t="shared" si="53"/>
        <v/>
      </c>
      <c r="AA246" s="195" t="str">
        <f t="shared" si="54"/>
        <v/>
      </c>
      <c r="AC246" s="196" t="str">
        <f t="shared" si="60"/>
        <v/>
      </c>
    </row>
    <row r="247" hidden="1" spans="1:29">
      <c r="A247" s="181">
        <v>228</v>
      </c>
      <c r="B247" s="181" t="s">
        <v>557</v>
      </c>
      <c r="C247" s="181" t="s">
        <v>558</v>
      </c>
      <c r="D247" s="181" t="s">
        <v>559</v>
      </c>
      <c r="E247" s="206">
        <v>3260</v>
      </c>
      <c r="F247" s="206">
        <v>3260</v>
      </c>
      <c r="G247" s="206">
        <v>0</v>
      </c>
      <c r="H247" s="206">
        <v>0</v>
      </c>
      <c r="I247" s="185" t="str">
        <f t="shared" si="55"/>
        <v>完工</v>
      </c>
      <c r="J247" s="208">
        <v>3260</v>
      </c>
      <c r="K247" s="209" t="str">
        <f t="shared" si="56"/>
        <v/>
      </c>
      <c r="L247" s="186"/>
      <c r="M247" s="210">
        <v>44470</v>
      </c>
      <c r="N247" s="210">
        <v>44896</v>
      </c>
      <c r="O247" s="181" t="s">
        <v>560</v>
      </c>
      <c r="P247" s="181" t="s">
        <v>66</v>
      </c>
      <c r="Q247" s="181"/>
      <c r="R247" s="186"/>
      <c r="S247" s="193">
        <f t="shared" ref="S247:S254" si="74">E247-F247-G247-H247</f>
        <v>0</v>
      </c>
      <c r="T247" s="193" t="str">
        <f t="shared" si="57"/>
        <v/>
      </c>
      <c r="U247" s="175" t="str">
        <f t="shared" si="71"/>
        <v> </v>
      </c>
      <c r="V247" s="175" t="str">
        <f t="shared" si="73"/>
        <v/>
      </c>
      <c r="W247" s="175" t="str">
        <f t="shared" si="58"/>
        <v/>
      </c>
      <c r="X247" s="175" t="str">
        <f t="shared" si="59"/>
        <v/>
      </c>
      <c r="Y247" s="195" t="str">
        <f t="shared" si="64"/>
        <v/>
      </c>
      <c r="Z247" s="195" t="str">
        <f t="shared" si="53"/>
        <v/>
      </c>
      <c r="AA247" s="195" t="str">
        <f t="shared" si="54"/>
        <v/>
      </c>
      <c r="AC247" s="196" t="str">
        <f t="shared" si="60"/>
        <v/>
      </c>
    </row>
    <row r="248" hidden="1" spans="1:29">
      <c r="A248" s="181">
        <v>229</v>
      </c>
      <c r="B248" s="181" t="s">
        <v>561</v>
      </c>
      <c r="C248" s="181" t="s">
        <v>461</v>
      </c>
      <c r="D248" s="181" t="s">
        <v>562</v>
      </c>
      <c r="E248" s="206">
        <v>150</v>
      </c>
      <c r="F248" s="206">
        <v>150</v>
      </c>
      <c r="G248" s="206">
        <v>0</v>
      </c>
      <c r="H248" s="206">
        <v>0</v>
      </c>
      <c r="I248" s="185" t="str">
        <f t="shared" si="55"/>
        <v>完工</v>
      </c>
      <c r="J248" s="208">
        <v>150</v>
      </c>
      <c r="K248" s="209" t="str">
        <f t="shared" si="56"/>
        <v/>
      </c>
      <c r="L248" s="186"/>
      <c r="M248" s="210">
        <v>44470</v>
      </c>
      <c r="N248" s="210">
        <v>44531</v>
      </c>
      <c r="O248" s="181" t="s">
        <v>423</v>
      </c>
      <c r="P248" s="181" t="s">
        <v>66</v>
      </c>
      <c r="Q248" s="181"/>
      <c r="R248" s="186" t="s">
        <v>563</v>
      </c>
      <c r="S248" s="193">
        <f t="shared" si="74"/>
        <v>0</v>
      </c>
      <c r="T248" s="193" t="str">
        <f t="shared" si="57"/>
        <v/>
      </c>
      <c r="U248" s="175" t="str">
        <f t="shared" si="71"/>
        <v> </v>
      </c>
      <c r="V248" s="175" t="str">
        <f t="shared" ref="V248:V251" si="75">IF(I248="完工","",12)</f>
        <v/>
      </c>
      <c r="W248" s="175" t="str">
        <f t="shared" si="58"/>
        <v/>
      </c>
      <c r="X248" s="175" t="str">
        <f t="shared" si="59"/>
        <v/>
      </c>
      <c r="Y248" s="195" t="str">
        <f t="shared" si="64"/>
        <v/>
      </c>
      <c r="Z248" s="195" t="str">
        <f t="shared" si="53"/>
        <v/>
      </c>
      <c r="AA248" s="195" t="str">
        <f t="shared" si="54"/>
        <v/>
      </c>
      <c r="AC248" s="196" t="str">
        <f t="shared" si="60"/>
        <v/>
      </c>
    </row>
    <row r="249" hidden="1" spans="1:29">
      <c r="A249" s="181">
        <v>230</v>
      </c>
      <c r="B249" s="181" t="s">
        <v>564</v>
      </c>
      <c r="C249" s="181" t="s">
        <v>461</v>
      </c>
      <c r="D249" s="181" t="s">
        <v>565</v>
      </c>
      <c r="E249" s="206">
        <v>150</v>
      </c>
      <c r="F249" s="206">
        <v>150</v>
      </c>
      <c r="G249" s="206">
        <v>0</v>
      </c>
      <c r="H249" s="206">
        <v>0</v>
      </c>
      <c r="I249" s="185" t="str">
        <f t="shared" si="55"/>
        <v>完工</v>
      </c>
      <c r="J249" s="208">
        <v>150</v>
      </c>
      <c r="K249" s="209" t="str">
        <f t="shared" si="56"/>
        <v/>
      </c>
      <c r="L249" s="186"/>
      <c r="M249" s="210">
        <v>44470</v>
      </c>
      <c r="N249" s="210">
        <v>44531</v>
      </c>
      <c r="O249" s="181" t="s">
        <v>464</v>
      </c>
      <c r="P249" s="181" t="s">
        <v>66</v>
      </c>
      <c r="Q249" s="181"/>
      <c r="R249" s="186" t="s">
        <v>563</v>
      </c>
      <c r="S249" s="193">
        <f t="shared" si="74"/>
        <v>0</v>
      </c>
      <c r="T249" s="193" t="str">
        <f t="shared" si="57"/>
        <v/>
      </c>
      <c r="U249" s="175" t="str">
        <f t="shared" si="71"/>
        <v> </v>
      </c>
      <c r="V249" s="175" t="str">
        <f t="shared" si="75"/>
        <v/>
      </c>
      <c r="W249" s="175" t="str">
        <f t="shared" si="58"/>
        <v/>
      </c>
      <c r="X249" s="175" t="str">
        <f t="shared" si="59"/>
        <v/>
      </c>
      <c r="Y249" s="195" t="str">
        <f t="shared" si="64"/>
        <v/>
      </c>
      <c r="Z249" s="195" t="str">
        <f t="shared" si="53"/>
        <v/>
      </c>
      <c r="AA249" s="195" t="str">
        <f t="shared" si="54"/>
        <v/>
      </c>
      <c r="AC249" s="196" t="str">
        <f t="shared" si="60"/>
        <v/>
      </c>
    </row>
    <row r="250" hidden="1" spans="1:29">
      <c r="A250" s="181">
        <v>231</v>
      </c>
      <c r="B250" s="181" t="s">
        <v>566</v>
      </c>
      <c r="C250" s="181" t="s">
        <v>461</v>
      </c>
      <c r="D250" s="181" t="s">
        <v>567</v>
      </c>
      <c r="E250" s="206">
        <v>150</v>
      </c>
      <c r="F250" s="206">
        <v>150</v>
      </c>
      <c r="G250" s="206">
        <v>0</v>
      </c>
      <c r="H250" s="206">
        <v>0</v>
      </c>
      <c r="I250" s="185" t="str">
        <f t="shared" si="55"/>
        <v>完工</v>
      </c>
      <c r="J250" s="208">
        <v>150</v>
      </c>
      <c r="K250" s="209" t="str">
        <f t="shared" si="56"/>
        <v/>
      </c>
      <c r="L250" s="186"/>
      <c r="M250" s="210">
        <v>44470</v>
      </c>
      <c r="N250" s="210">
        <v>44531</v>
      </c>
      <c r="O250" s="181" t="s">
        <v>464</v>
      </c>
      <c r="P250" s="181" t="s">
        <v>66</v>
      </c>
      <c r="Q250" s="181"/>
      <c r="R250" s="186" t="s">
        <v>563</v>
      </c>
      <c r="S250" s="193">
        <f t="shared" si="74"/>
        <v>0</v>
      </c>
      <c r="T250" s="193" t="str">
        <f t="shared" si="57"/>
        <v/>
      </c>
      <c r="U250" s="175" t="str">
        <f t="shared" si="71"/>
        <v> </v>
      </c>
      <c r="V250" s="175" t="str">
        <f t="shared" si="75"/>
        <v/>
      </c>
      <c r="W250" s="175" t="str">
        <f t="shared" si="58"/>
        <v/>
      </c>
      <c r="X250" s="175" t="str">
        <f t="shared" si="59"/>
        <v/>
      </c>
      <c r="Y250" s="195" t="str">
        <f t="shared" si="64"/>
        <v/>
      </c>
      <c r="Z250" s="195" t="str">
        <f t="shared" si="53"/>
        <v/>
      </c>
      <c r="AA250" s="195" t="str">
        <f t="shared" si="54"/>
        <v/>
      </c>
      <c r="AC250" s="196" t="str">
        <f t="shared" si="60"/>
        <v/>
      </c>
    </row>
    <row r="251" hidden="1" spans="1:29">
      <c r="A251" s="181">
        <v>232</v>
      </c>
      <c r="B251" s="181" t="s">
        <v>568</v>
      </c>
      <c r="C251" s="181" t="s">
        <v>461</v>
      </c>
      <c r="D251" s="181" t="s">
        <v>569</v>
      </c>
      <c r="E251" s="206">
        <v>150</v>
      </c>
      <c r="F251" s="206">
        <v>150</v>
      </c>
      <c r="G251" s="206">
        <v>0</v>
      </c>
      <c r="H251" s="206">
        <v>0</v>
      </c>
      <c r="I251" s="185" t="str">
        <f t="shared" si="55"/>
        <v>完工</v>
      </c>
      <c r="J251" s="208">
        <v>150</v>
      </c>
      <c r="K251" s="209" t="str">
        <f t="shared" si="56"/>
        <v/>
      </c>
      <c r="L251" s="186"/>
      <c r="M251" s="210">
        <v>44470</v>
      </c>
      <c r="N251" s="210">
        <v>44531</v>
      </c>
      <c r="O251" s="181" t="s">
        <v>464</v>
      </c>
      <c r="P251" s="181" t="s">
        <v>66</v>
      </c>
      <c r="Q251" s="181"/>
      <c r="R251" s="186" t="s">
        <v>563</v>
      </c>
      <c r="S251" s="193">
        <f t="shared" si="74"/>
        <v>0</v>
      </c>
      <c r="T251" s="193" t="str">
        <f t="shared" si="57"/>
        <v/>
      </c>
      <c r="U251" s="175" t="str">
        <f t="shared" si="71"/>
        <v> </v>
      </c>
      <c r="V251" s="175" t="str">
        <f t="shared" si="75"/>
        <v/>
      </c>
      <c r="W251" s="175" t="str">
        <f t="shared" si="58"/>
        <v/>
      </c>
      <c r="X251" s="175" t="str">
        <f t="shared" si="59"/>
        <v/>
      </c>
      <c r="Y251" s="195" t="str">
        <f t="shared" si="64"/>
        <v/>
      </c>
      <c r="Z251" s="195" t="str">
        <f t="shared" si="53"/>
        <v/>
      </c>
      <c r="AA251" s="195" t="str">
        <f t="shared" si="54"/>
        <v/>
      </c>
      <c r="AC251" s="196" t="str">
        <f t="shared" si="60"/>
        <v/>
      </c>
    </row>
    <row r="252" hidden="1" spans="1:29">
      <c r="A252" s="181">
        <v>233</v>
      </c>
      <c r="B252" s="181" t="s">
        <v>570</v>
      </c>
      <c r="C252" s="181" t="s">
        <v>55</v>
      </c>
      <c r="D252" s="181" t="s">
        <v>571</v>
      </c>
      <c r="E252" s="206">
        <v>1723</v>
      </c>
      <c r="F252" s="206">
        <v>0</v>
      </c>
      <c r="G252" s="206">
        <v>1723</v>
      </c>
      <c r="H252" s="206">
        <v>0</v>
      </c>
      <c r="I252" s="185" t="str">
        <f t="shared" si="55"/>
        <v>完工</v>
      </c>
      <c r="J252" s="208">
        <v>1723</v>
      </c>
      <c r="K252" s="209">
        <f t="shared" si="56"/>
        <v>1723</v>
      </c>
      <c r="L252" s="186"/>
      <c r="M252" s="210">
        <v>44470</v>
      </c>
      <c r="N252" s="210">
        <v>44743</v>
      </c>
      <c r="O252" s="181" t="s">
        <v>57</v>
      </c>
      <c r="P252" s="181" t="s">
        <v>42</v>
      </c>
      <c r="Q252" s="181"/>
      <c r="R252" s="186"/>
      <c r="S252" s="193">
        <f t="shared" si="74"/>
        <v>0</v>
      </c>
      <c r="T252" s="193" t="str">
        <f t="shared" si="57"/>
        <v/>
      </c>
      <c r="U252" s="175" t="str">
        <f t="shared" si="71"/>
        <v> </v>
      </c>
      <c r="V252" s="175" t="str">
        <f>IF(I252="完工","",5)</f>
        <v/>
      </c>
      <c r="W252" s="175" t="str">
        <f t="shared" si="58"/>
        <v/>
      </c>
      <c r="X252" s="175" t="str">
        <f t="shared" si="59"/>
        <v/>
      </c>
      <c r="Y252" s="195" t="str">
        <f t="shared" si="64"/>
        <v/>
      </c>
      <c r="Z252" s="195" t="str">
        <f t="shared" si="53"/>
        <v/>
      </c>
      <c r="AA252" s="195" t="str">
        <f t="shared" si="54"/>
        <v/>
      </c>
      <c r="AC252" s="196" t="str">
        <f t="shared" si="60"/>
        <v/>
      </c>
    </row>
    <row r="253" hidden="1" spans="1:29">
      <c r="A253" s="181">
        <v>234</v>
      </c>
      <c r="B253" s="181" t="s">
        <v>572</v>
      </c>
      <c r="C253" s="181" t="s">
        <v>55</v>
      </c>
      <c r="D253" s="181" t="s">
        <v>573</v>
      </c>
      <c r="E253" s="206">
        <v>1504</v>
      </c>
      <c r="F253" s="206">
        <v>0</v>
      </c>
      <c r="G253" s="206">
        <v>1504</v>
      </c>
      <c r="H253" s="206">
        <v>0</v>
      </c>
      <c r="I253" s="185" t="str">
        <f t="shared" si="55"/>
        <v>在建</v>
      </c>
      <c r="J253" s="208">
        <v>1350</v>
      </c>
      <c r="K253" s="209">
        <f t="shared" si="56"/>
        <v>1350</v>
      </c>
      <c r="L253" s="186"/>
      <c r="M253" s="210">
        <v>44470</v>
      </c>
      <c r="N253" s="210">
        <v>44866</v>
      </c>
      <c r="O253" s="181" t="s">
        <v>57</v>
      </c>
      <c r="P253" s="181" t="s">
        <v>39</v>
      </c>
      <c r="Q253" s="181"/>
      <c r="R253" s="186"/>
      <c r="S253" s="193">
        <f t="shared" si="74"/>
        <v>0</v>
      </c>
      <c r="T253" s="193">
        <f t="shared" si="57"/>
        <v>0</v>
      </c>
      <c r="U253" s="175">
        <f t="shared" si="71"/>
        <v>0</v>
      </c>
      <c r="V253" s="175">
        <f>IF(I253="完工","",1)</f>
        <v>1</v>
      </c>
      <c r="W253" s="175">
        <f t="shared" si="58"/>
        <v>11</v>
      </c>
      <c r="X253" s="175">
        <f t="shared" si="59"/>
        <v>6.5</v>
      </c>
      <c r="Y253" s="195">
        <f t="shared" si="64"/>
        <v>0.591</v>
      </c>
      <c r="Z253" s="195">
        <f t="shared" si="53"/>
        <v>0.898</v>
      </c>
      <c r="AA253" s="195">
        <f t="shared" si="54"/>
        <v>0.307</v>
      </c>
      <c r="AC253" s="196">
        <f t="shared" si="60"/>
        <v>0.898</v>
      </c>
    </row>
    <row r="254" hidden="1" spans="1:29">
      <c r="A254" s="181">
        <v>235</v>
      </c>
      <c r="B254" s="181" t="s">
        <v>574</v>
      </c>
      <c r="C254" s="181" t="s">
        <v>558</v>
      </c>
      <c r="D254" s="181" t="s">
        <v>575</v>
      </c>
      <c r="E254" s="206">
        <v>4668</v>
      </c>
      <c r="F254" s="206">
        <v>0</v>
      </c>
      <c r="G254" s="206">
        <v>4668</v>
      </c>
      <c r="H254" s="206">
        <v>0</v>
      </c>
      <c r="I254" s="185" t="str">
        <f t="shared" si="55"/>
        <v>完工</v>
      </c>
      <c r="J254" s="208">
        <v>4668</v>
      </c>
      <c r="K254" s="209">
        <f t="shared" si="56"/>
        <v>4668</v>
      </c>
      <c r="L254" s="186"/>
      <c r="M254" s="210">
        <v>44470</v>
      </c>
      <c r="N254" s="210">
        <v>44896</v>
      </c>
      <c r="O254" s="181" t="s">
        <v>560</v>
      </c>
      <c r="P254" s="181" t="s">
        <v>39</v>
      </c>
      <c r="Q254" s="181"/>
      <c r="R254" s="186"/>
      <c r="S254" s="193">
        <f t="shared" si="74"/>
        <v>0</v>
      </c>
      <c r="T254" s="193" t="str">
        <f t="shared" si="57"/>
        <v/>
      </c>
      <c r="U254" s="175" t="str">
        <f t="shared" si="71"/>
        <v> </v>
      </c>
      <c r="V254" s="175" t="str">
        <f>IF(I254="完工","",0)</f>
        <v/>
      </c>
      <c r="W254" s="175" t="str">
        <f t="shared" si="58"/>
        <v/>
      </c>
      <c r="X254" s="175" t="str">
        <f t="shared" si="59"/>
        <v/>
      </c>
      <c r="Y254" s="195" t="str">
        <f t="shared" si="64"/>
        <v/>
      </c>
      <c r="Z254" s="195" t="str">
        <f t="shared" si="53"/>
        <v/>
      </c>
      <c r="AA254" s="195" t="str">
        <f t="shared" si="54"/>
        <v/>
      </c>
      <c r="AC254" s="196" t="str">
        <f t="shared" si="60"/>
        <v/>
      </c>
    </row>
  </sheetData>
  <sheetProtection formatCells="0" formatColumns="0" formatRows="0" autoFilter="0"/>
  <protectedRanges>
    <protectedRange sqref="L$1:L$1048576 J$1:J$1048576 AB$1:AB$1048576 R$1:R$1048576" name="区域3"/>
  </protectedRanges>
  <autoFilter ref="A1:AC254">
    <filterColumn colId="15">
      <customFilters>
        <customFilter operator="equal" val="龙亭区"/>
      </customFilters>
    </filterColumn>
    <extLst/>
  </autoFilter>
  <pageMargins left="0.7" right="0.7" top="0.75" bottom="0.75" header="0.3" footer="0.3"/>
  <pageSetup paperSize="9" scale="43"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33"/>
  <sheetViews>
    <sheetView zoomScale="90" zoomScaleNormal="90" topLeftCell="M1" workbookViewId="0">
      <pane ySplit="6" topLeftCell="A10" activePane="bottomLeft" state="frozen"/>
      <selection/>
      <selection pane="bottomLeft" activeCell="A5" sqref="A5:R5"/>
    </sheetView>
  </sheetViews>
  <sheetFormatPr defaultColWidth="9" defaultRowHeight="13.5"/>
  <cols>
    <col min="3" max="3" width="9.90833333333333" customWidth="1"/>
    <col min="7" max="7" width="10.45" customWidth="1"/>
    <col min="13" max="14" width="11.9083333333333" customWidth="1"/>
    <col min="32" max="33" width="11.9083333333333" customWidth="1"/>
  </cols>
  <sheetData>
    <row r="1" ht="14.15" customHeight="1" spans="1:21">
      <c r="A1" s="2" t="s">
        <v>1185</v>
      </c>
      <c r="B1" s="3"/>
      <c r="C1" s="3"/>
      <c r="D1" s="3"/>
      <c r="E1" s="3"/>
      <c r="F1" s="3"/>
      <c r="G1" s="4"/>
      <c r="H1" s="38" t="s">
        <v>1186</v>
      </c>
      <c r="I1" s="42"/>
      <c r="J1" s="42"/>
      <c r="K1" s="42"/>
      <c r="L1" s="42"/>
      <c r="M1" s="43"/>
      <c r="N1" s="18"/>
      <c r="O1" s="23" t="s">
        <v>1187</v>
      </c>
      <c r="P1" s="23"/>
      <c r="Q1" s="23"/>
      <c r="R1" s="23"/>
      <c r="S1" s="23"/>
      <c r="T1" s="23"/>
      <c r="U1" s="23"/>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6" t="s">
        <v>1146</v>
      </c>
      <c r="B3" s="39">
        <f>I3+P3</f>
        <v>32</v>
      </c>
      <c r="C3" s="39">
        <f t="shared" ref="C3:F3" si="0">J3+Q3</f>
        <v>154067.74</v>
      </c>
      <c r="D3" s="39">
        <f t="shared" si="0"/>
        <v>32</v>
      </c>
      <c r="E3" s="39">
        <f t="shared" si="0"/>
        <v>15</v>
      </c>
      <c r="F3" s="39">
        <f t="shared" si="0"/>
        <v>114092.71</v>
      </c>
      <c r="G3" s="40">
        <f>IF(C3=0,"-",ROUND(F3/C3,3))</f>
        <v>0.741</v>
      </c>
      <c r="H3" s="8" t="s">
        <v>1146</v>
      </c>
      <c r="I3" s="17">
        <f>COUNT(E7:E122)</f>
        <v>5</v>
      </c>
      <c r="J3" s="21">
        <f>SUM(E7:E122)</f>
        <v>17794.39</v>
      </c>
      <c r="K3" s="21">
        <f>COUNTIF(I7:I122,"在建")+COUNTIF(I7:I122,"完工")</f>
        <v>5</v>
      </c>
      <c r="L3" s="21">
        <f>COUNTIF(I7:I122,"完工")</f>
        <v>5</v>
      </c>
      <c r="M3" s="17">
        <f>SUM(J7:J122)</f>
        <v>17794.39</v>
      </c>
      <c r="N3" s="22">
        <f>IF(J3=0,"-",ROUND(M3/J3,3))</f>
        <v>1</v>
      </c>
      <c r="O3" s="19" t="s">
        <v>1146</v>
      </c>
      <c r="P3" s="20">
        <f>COUNT(X7:X122)</f>
        <v>27</v>
      </c>
      <c r="Q3" s="24">
        <f>SUM(X7:X122)</f>
        <v>136273.35</v>
      </c>
      <c r="R3" s="24">
        <f>COUNTIF(AB7:AB122,"在建")+COUNTIF(AB7:AB122,"完工")</f>
        <v>27</v>
      </c>
      <c r="S3" s="24">
        <f>COUNTIF(AB7:AB122,"完工")</f>
        <v>10</v>
      </c>
      <c r="T3" s="20">
        <f>SUM(AC7:AC122)</f>
        <v>96298.32</v>
      </c>
      <c r="U3" s="25">
        <f>IF(Q3=0,"-",ROUND(T3/Q3,3))</f>
        <v>0.707</v>
      </c>
    </row>
    <row r="4" ht="27" spans="1:21">
      <c r="A4" s="6" t="s">
        <v>1148</v>
      </c>
      <c r="B4" s="39">
        <f>I4+P4</f>
        <v>27</v>
      </c>
      <c r="C4" s="39">
        <f t="shared" ref="C4" si="1">J4+Q4</f>
        <v>74580.66</v>
      </c>
      <c r="D4" s="39">
        <f t="shared" ref="D4" si="2">K4+R4</f>
        <v>27</v>
      </c>
      <c r="E4" s="39">
        <f t="shared" ref="E4" si="3">L4+S4</f>
        <v>10</v>
      </c>
      <c r="F4" s="39">
        <f t="shared" ref="F4" si="4">M4+T4</f>
        <v>66798.63</v>
      </c>
      <c r="G4" s="41">
        <f>IF(C4=0,"-",ROUND(F4/C4,3))</f>
        <v>0.896</v>
      </c>
      <c r="H4" s="8" t="s">
        <v>1148</v>
      </c>
      <c r="I4" s="17">
        <f>COUNTIF(G7:G122,"&gt;0")</f>
        <v>4</v>
      </c>
      <c r="J4" s="21">
        <f>SUM(G7:G122)</f>
        <v>10050.31</v>
      </c>
      <c r="K4" s="21">
        <f>COUNTIFS(G7:G122,"&gt;0",I7:I122,"完工")+COUNTIFS(G7:G122,"&gt;0",I7:I122,"在建")</f>
        <v>4</v>
      </c>
      <c r="L4" s="21">
        <f>COUNTIFS(G7:G122,"&gt;0",I7:I122,"完工")</f>
        <v>4</v>
      </c>
      <c r="M4" s="17">
        <f>SUM(K7:K122)</f>
        <v>10050.31</v>
      </c>
      <c r="N4" s="22">
        <f>IF(J4=0,"-",ROUND(M4/J4,3))</f>
        <v>1</v>
      </c>
      <c r="O4" s="19" t="s">
        <v>1148</v>
      </c>
      <c r="P4" s="20">
        <f>COUNTIF(Z7:Z122,"&gt;0")</f>
        <v>23</v>
      </c>
      <c r="Q4" s="24">
        <f>SUM(Z7:Z122)</f>
        <v>64530.35</v>
      </c>
      <c r="R4" s="24">
        <f>COUNTIFS(Z7:Z122,"&gt;0",AB7:AB122,"完工")+COUNTIFS(Z7:Z122,"&gt;0",AB7:AB122,"在建")</f>
        <v>23</v>
      </c>
      <c r="S4" s="24">
        <f>COUNTIFS(Z7:Z122,"&gt;0",AB7:AB122,"完工")</f>
        <v>6</v>
      </c>
      <c r="T4" s="20">
        <f>SUM(AD7:AD122)</f>
        <v>56748.32</v>
      </c>
      <c r="U4" s="25">
        <f>IF(Q4=0,"-",ROUND(T4/Q4,3))</f>
        <v>0.879</v>
      </c>
    </row>
    <row r="5" s="1" customFormat="1" spans="1:37">
      <c r="A5" s="13" t="s">
        <v>1188</v>
      </c>
      <c r="B5" s="14"/>
      <c r="C5" s="14"/>
      <c r="D5" s="14"/>
      <c r="E5" s="14"/>
      <c r="F5" s="14"/>
      <c r="G5" s="14"/>
      <c r="H5" s="14"/>
      <c r="I5" s="14"/>
      <c r="J5" s="14"/>
      <c r="K5" s="14"/>
      <c r="L5" s="14"/>
      <c r="M5" s="14"/>
      <c r="N5" s="14"/>
      <c r="O5" s="14"/>
      <c r="P5" s="14"/>
      <c r="Q5" s="14"/>
      <c r="R5" s="36"/>
      <c r="T5" s="13" t="s">
        <v>1189</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规划内'!A48</f>
        <v>47</v>
      </c>
      <c r="B7" t="str">
        <f>'附件3 规划内'!B48</f>
        <v>X060</v>
      </c>
      <c r="C7" t="str">
        <f>'附件3 规划内'!C48</f>
        <v>交通</v>
      </c>
      <c r="D7" t="str">
        <f>'附件3 规划内'!D48</f>
        <v>13公里</v>
      </c>
      <c r="E7">
        <f>'附件3 规划内'!E48</f>
        <v>1783</v>
      </c>
      <c r="F7">
        <f>'附件3 规划内'!F48</f>
        <v>778</v>
      </c>
      <c r="G7">
        <f>'附件3 规划内'!G48</f>
        <v>1005</v>
      </c>
      <c r="H7">
        <f>'附件3 规划内'!H48</f>
        <v>0</v>
      </c>
      <c r="I7" t="str">
        <f>'附件3 规划内'!I48</f>
        <v>完工</v>
      </c>
      <c r="J7">
        <f>'附件3 规划内'!J48</f>
        <v>1783</v>
      </c>
      <c r="K7">
        <f>'附件3 规划内'!K48</f>
        <v>1005</v>
      </c>
      <c r="L7">
        <f>'附件3 规划内'!L48</f>
        <v>0</v>
      </c>
      <c r="M7" s="26">
        <f>'附件3 规划内'!M48</f>
        <v>44531</v>
      </c>
      <c r="N7" s="26">
        <f>'附件3 规划内'!N48</f>
        <v>44774</v>
      </c>
      <c r="O7" t="str">
        <f>'附件3 规划内'!O48</f>
        <v>市交通运输局</v>
      </c>
      <c r="P7" t="str">
        <f>'附件3 规划内'!P48</f>
        <v>兰考县</v>
      </c>
      <c r="Q7">
        <f>'附件3 规划内'!Q48</f>
        <v>0</v>
      </c>
      <c r="R7" t="str">
        <f>'附件3 规划内'!R48</f>
        <v>2022年12月底 农村公路</v>
      </c>
      <c r="T7">
        <f>'附件4 规划外'!A16</f>
        <v>16</v>
      </c>
      <c r="U7" t="str">
        <f>'附件4 规划外'!B16</f>
        <v>兰考县黄蔡河提升工程</v>
      </c>
      <c r="V7" t="str">
        <f>'附件4 规划外'!C16</f>
        <v>水利</v>
      </c>
      <c r="W7" t="str">
        <f>'附件4 规划外'!D16</f>
        <v>河道清淤长36.85公里，清淤土方258万m³；堤防加固长10.3km，土方回填22.7万m³；拆除重建胡里闸、李家滩节制闸2座</v>
      </c>
      <c r="X7">
        <f>'附件4 规划外'!E16</f>
        <v>9800</v>
      </c>
      <c r="Y7">
        <f>'附件4 规划外'!F16</f>
        <v>0</v>
      </c>
      <c r="Z7">
        <f>'附件4 规划外'!G16</f>
        <v>9800</v>
      </c>
      <c r="AA7">
        <f>'附件4 规划外'!H16</f>
        <v>0</v>
      </c>
      <c r="AB7" t="str">
        <f>'附件4 规划外'!I16</f>
        <v>完工</v>
      </c>
      <c r="AC7">
        <f>'附件4 规划外'!J16</f>
        <v>9800</v>
      </c>
      <c r="AD7">
        <f>'附件4 规划外'!K16</f>
        <v>9800</v>
      </c>
      <c r="AE7" t="str">
        <f>'附件4 规划外'!L16</f>
        <v>已完成</v>
      </c>
      <c r="AF7" s="26">
        <f>'附件4 规划外'!M16</f>
        <v>44531</v>
      </c>
      <c r="AG7" s="26">
        <f>'附件4 规划外'!N16</f>
        <v>44772</v>
      </c>
      <c r="AH7" t="str">
        <f>'附件4 规划外'!O16</f>
        <v>市水利局</v>
      </c>
      <c r="AI7" t="str">
        <f>'附件4 规划外'!P16</f>
        <v>兰考县</v>
      </c>
      <c r="AJ7">
        <f>'附件4 规划外'!Q16</f>
        <v>0</v>
      </c>
      <c r="AK7" t="str">
        <f>'附件4 规划外'!R16</f>
        <v>7.20洪水过后，该河道以防灾减灾（达标提升）工程申请上级资金，上级未纳入灾后重建规划项目，我县通过去冬今春五项重点工作进行河道疏浚工作，目前已完成河道疏浚工作，配套建筑物进行了维修，满足今汛安全。</v>
      </c>
    </row>
    <row r="8" spans="1:37">
      <c r="A8">
        <f>'附件3 规划内'!A49</f>
        <v>48</v>
      </c>
      <c r="B8" t="str">
        <f>'附件3 规划内'!B49</f>
        <v>X058</v>
      </c>
      <c r="C8" t="str">
        <f>'附件3 规划内'!C49</f>
        <v>交通</v>
      </c>
      <c r="D8" t="str">
        <f>'附件3 规划内'!D49</f>
        <v>3公里</v>
      </c>
      <c r="E8">
        <f>'附件3 规划内'!E49</f>
        <v>1316</v>
      </c>
      <c r="F8">
        <f>'附件3 规划内'!F49</f>
        <v>500</v>
      </c>
      <c r="G8">
        <f>'附件3 规划内'!G49</f>
        <v>816</v>
      </c>
      <c r="H8">
        <f>'附件3 规划内'!H49</f>
        <v>0</v>
      </c>
      <c r="I8" t="str">
        <f>'附件3 规划内'!I49</f>
        <v>完工</v>
      </c>
      <c r="J8">
        <f>'附件3 规划内'!J49</f>
        <v>1316</v>
      </c>
      <c r="K8">
        <f>'附件3 规划内'!K49</f>
        <v>816</v>
      </c>
      <c r="L8">
        <f>'附件3 规划内'!L49</f>
        <v>0</v>
      </c>
      <c r="M8" s="26">
        <f>'附件3 规划内'!M49</f>
        <v>44531</v>
      </c>
      <c r="N8" s="26">
        <f>'附件3 规划内'!N49</f>
        <v>44713</v>
      </c>
      <c r="O8" t="str">
        <f>'附件3 规划内'!O49</f>
        <v>市交通运输局</v>
      </c>
      <c r="P8" t="str">
        <f>'附件3 规划内'!P49</f>
        <v>兰考县</v>
      </c>
      <c r="Q8">
        <f>'附件3 规划内'!Q49</f>
        <v>0</v>
      </c>
      <c r="R8" t="str">
        <f>'附件3 规划内'!R49</f>
        <v>2022年6月底 农村公路</v>
      </c>
      <c r="T8">
        <f>'附件4 规划外'!A17</f>
        <v>17</v>
      </c>
      <c r="U8" t="str">
        <f>'附件4 规划外'!B17</f>
        <v>兰考县四明河提升工程</v>
      </c>
      <c r="V8" t="str">
        <f>'附件4 规划外'!C17</f>
        <v>水利</v>
      </c>
      <c r="W8" t="str">
        <f>'附件4 规划外'!D17</f>
        <v>河道清淤长33.02公里，清淤土方180.6万m³；堤防加固长9.0km，土方回填9.9万m³；新建（重建）生产桥7座，险工段边坡防护长3.5km</v>
      </c>
      <c r="X8">
        <f>'附件4 规划外'!E17</f>
        <v>6700</v>
      </c>
      <c r="Y8">
        <f>'附件4 规划外'!F17</f>
        <v>0</v>
      </c>
      <c r="Z8">
        <f>'附件4 规划外'!G17</f>
        <v>6700</v>
      </c>
      <c r="AA8">
        <f>'附件4 规划外'!H17</f>
        <v>0</v>
      </c>
      <c r="AB8" t="str">
        <f>'附件4 规划外'!I17</f>
        <v>完工</v>
      </c>
      <c r="AC8">
        <f>'附件4 规划外'!J17</f>
        <v>6700</v>
      </c>
      <c r="AD8">
        <f>'附件4 规划外'!K17</f>
        <v>6700</v>
      </c>
      <c r="AE8" t="str">
        <f>'附件4 规划外'!L17</f>
        <v>已完成</v>
      </c>
      <c r="AF8" s="26">
        <f>'附件4 规划外'!M17</f>
        <v>44531</v>
      </c>
      <c r="AG8" s="26">
        <f>'附件4 规划外'!N17</f>
        <v>44772</v>
      </c>
      <c r="AH8" t="str">
        <f>'附件4 规划外'!O17</f>
        <v>市水利局</v>
      </c>
      <c r="AI8" t="str">
        <f>'附件4 规划外'!P17</f>
        <v>兰考县</v>
      </c>
      <c r="AJ8">
        <f>'附件4 规划外'!Q17</f>
        <v>0</v>
      </c>
      <c r="AK8" t="str">
        <f>'附件4 规划外'!R17</f>
        <v>7.20洪水过后，该河道以防灾减灾（达标提升）工程申请上级资金，上级未纳入灾后重建规划项目，我县通过去冬今春五项重点工作进行河道疏浚工作，目前已完成河道疏浚工作，配套建筑物进行了维修，满足今汛安全。</v>
      </c>
    </row>
    <row r="9" spans="1:37">
      <c r="A9">
        <f>'附件3 规划内'!A50</f>
        <v>49</v>
      </c>
      <c r="B9" t="str">
        <f>'附件3 规划内'!B50</f>
        <v>X053</v>
      </c>
      <c r="C9" t="str">
        <f>'附件3 规划内'!C50</f>
        <v>交通</v>
      </c>
      <c r="D9" t="str">
        <f>'附件3 规划内'!D50</f>
        <v>3公里</v>
      </c>
      <c r="E9">
        <f>'附件3 规划内'!E50</f>
        <v>1346</v>
      </c>
      <c r="F9">
        <f>'附件3 规划内'!F50</f>
        <v>500</v>
      </c>
      <c r="G9">
        <f>'附件3 规划内'!G50</f>
        <v>846</v>
      </c>
      <c r="H9">
        <f>'附件3 规划内'!H50</f>
        <v>0</v>
      </c>
      <c r="I9" t="str">
        <f>'附件3 规划内'!I50</f>
        <v>完工</v>
      </c>
      <c r="J9">
        <f>'附件3 规划内'!J50</f>
        <v>1346</v>
      </c>
      <c r="K9">
        <f>'附件3 规划内'!K50</f>
        <v>846</v>
      </c>
      <c r="L9">
        <f>'附件3 规划内'!L50</f>
        <v>0</v>
      </c>
      <c r="M9" s="26">
        <f>'附件3 规划内'!M50</f>
        <v>44531</v>
      </c>
      <c r="N9" s="26">
        <f>'附件3 规划内'!N50</f>
        <v>44742</v>
      </c>
      <c r="O9" t="str">
        <f>'附件3 规划内'!O50</f>
        <v>市交通运输局</v>
      </c>
      <c r="P9" t="str">
        <f>'附件3 规划内'!P50</f>
        <v>兰考县</v>
      </c>
      <c r="Q9">
        <f>'附件3 规划内'!Q50</f>
        <v>0</v>
      </c>
      <c r="R9" t="str">
        <f>'附件3 规划内'!R50</f>
        <v>2022年6月底 农村公路</v>
      </c>
      <c r="T9">
        <f>'附件4 规划外'!A27</f>
        <v>37</v>
      </c>
      <c r="U9" t="str">
        <f>'附件4 规划外'!B27</f>
        <v>兰考县Y071张金线张寨至刘林段改建工程</v>
      </c>
      <c r="V9" t="str">
        <f>'附件4 规划外'!C27</f>
        <v>交通</v>
      </c>
      <c r="W9" t="str">
        <f>'附件4 规划外'!D27</f>
        <v>三级公路6.672公里</v>
      </c>
      <c r="X9">
        <f>'附件4 规划外'!E27</f>
        <v>1286.39</v>
      </c>
      <c r="Y9">
        <f>'附件4 规划外'!F27</f>
        <v>0</v>
      </c>
      <c r="Z9">
        <f>'附件4 规划外'!G27</f>
        <v>1286.39</v>
      </c>
      <c r="AA9">
        <f>'附件4 规划外'!H27</f>
        <v>0</v>
      </c>
      <c r="AB9" t="str">
        <f>'附件4 规划外'!I27</f>
        <v>在建</v>
      </c>
      <c r="AC9">
        <f>'附件4 规划外'!J27</f>
        <v>830</v>
      </c>
      <c r="AD9">
        <f>'附件4 规划外'!K27</f>
        <v>830</v>
      </c>
      <c r="AE9" t="str">
        <f>'附件4 规划外'!L27</f>
        <v>在建</v>
      </c>
      <c r="AF9" s="26">
        <f>'附件4 规划外'!M27</f>
        <v>44562</v>
      </c>
      <c r="AG9" s="26">
        <f>'附件4 规划外'!N27</f>
        <v>44742</v>
      </c>
      <c r="AH9" t="str">
        <f>'附件4 规划外'!O27</f>
        <v>市交通运输局</v>
      </c>
      <c r="AI9" t="str">
        <f>'附件4 规划外'!P27</f>
        <v>兰考县</v>
      </c>
      <c r="AJ9">
        <f>'附件4 规划外'!Q27</f>
        <v>0</v>
      </c>
      <c r="AK9">
        <f>'附件4 规划外'!R27</f>
        <v>0</v>
      </c>
    </row>
    <row r="10" spans="1:37">
      <c r="A10">
        <f>'附件3 规划内'!A97</f>
        <v>96</v>
      </c>
      <c r="B10" t="str">
        <f>'附件3 规划内'!B97</f>
        <v>2021年兰考县三义寨乡白云山村大棚修复项目</v>
      </c>
      <c r="C10" t="str">
        <f>'附件3 规划内'!C97</f>
        <v>乡村振兴</v>
      </c>
      <c r="D10" t="str">
        <f>'附件3 规划内'!D97</f>
        <v>修复温室大棚27座</v>
      </c>
      <c r="E10">
        <f>'附件3 规划内'!E97</f>
        <v>166.08</v>
      </c>
      <c r="F10">
        <f>'附件3 规划内'!F97</f>
        <v>166.08</v>
      </c>
      <c r="G10">
        <f>'附件3 规划内'!G97</f>
        <v>0</v>
      </c>
      <c r="H10">
        <f>'附件3 规划内'!H97</f>
        <v>0</v>
      </c>
      <c r="I10" t="str">
        <f>'附件3 规划内'!I97</f>
        <v>完工</v>
      </c>
      <c r="J10">
        <f>'附件3 规划内'!J97</f>
        <v>166.08</v>
      </c>
      <c r="K10" t="str">
        <f>'附件3 规划内'!K97</f>
        <v/>
      </c>
      <c r="L10">
        <f>'附件3 规划内'!L97</f>
        <v>0</v>
      </c>
      <c r="M10" s="26">
        <f>'附件3 规划内'!M97</f>
        <v>44440</v>
      </c>
      <c r="N10" s="26">
        <f>'附件3 规划内'!N97</f>
        <v>44530</v>
      </c>
      <c r="O10" t="str">
        <f>'附件3 规划内'!O97</f>
        <v>市乡村振兴局</v>
      </c>
      <c r="P10" t="str">
        <f>'附件3 规划内'!P97</f>
        <v>兰考县</v>
      </c>
      <c r="Q10">
        <f>'附件3 规划内'!Q97</f>
        <v>0</v>
      </c>
      <c r="R10">
        <f>'附件3 规划内'!R97</f>
        <v>0</v>
      </c>
      <c r="T10">
        <f>'附件4 规划外'!A28</f>
        <v>38</v>
      </c>
      <c r="U10" t="str">
        <f>'附件4 规划外'!B28</f>
        <v>兰考县X063南周线南漳至圈里改建工程</v>
      </c>
      <c r="V10" t="str">
        <f>'附件4 规划外'!C28</f>
        <v>交通</v>
      </c>
      <c r="W10" t="str">
        <f>'附件4 规划外'!D28</f>
        <v>三级公路3.69公里</v>
      </c>
      <c r="X10">
        <f>'附件4 规划外'!E28</f>
        <v>611.32</v>
      </c>
      <c r="Y10">
        <f>'附件4 规划外'!F28</f>
        <v>0</v>
      </c>
      <c r="Z10">
        <f>'附件4 规划外'!G28</f>
        <v>611.32</v>
      </c>
      <c r="AA10">
        <f>'附件4 规划外'!H28</f>
        <v>0</v>
      </c>
      <c r="AB10" t="str">
        <f>'附件4 规划外'!I28</f>
        <v>在建</v>
      </c>
      <c r="AC10">
        <f>'附件4 规划外'!J28</f>
        <v>485</v>
      </c>
      <c r="AD10">
        <f>'附件4 规划外'!K28</f>
        <v>485</v>
      </c>
      <c r="AE10" t="str">
        <f>'附件4 规划外'!L28</f>
        <v>在建</v>
      </c>
      <c r="AF10" s="26">
        <f>'附件4 规划外'!M28</f>
        <v>44562</v>
      </c>
      <c r="AG10" s="26">
        <f>'附件4 规划外'!N28</f>
        <v>44742</v>
      </c>
      <c r="AH10" t="str">
        <f>'附件4 规划外'!O28</f>
        <v>市交通运输局</v>
      </c>
      <c r="AI10" t="str">
        <f>'附件4 规划外'!P28</f>
        <v>兰考县</v>
      </c>
      <c r="AJ10">
        <f>'附件4 规划外'!Q28</f>
        <v>0</v>
      </c>
      <c r="AK10">
        <f>'附件4 规划外'!R28</f>
        <v>0</v>
      </c>
    </row>
    <row r="11" spans="1:37">
      <c r="A11">
        <f>'附件3 规划内'!A246</f>
        <v>227</v>
      </c>
      <c r="B11" t="str">
        <f>'附件3 规划内'!B246</f>
        <v>兰考县医疗应急物资储备库项目</v>
      </c>
      <c r="C11" t="str">
        <f>'附件3 规划内'!C246</f>
        <v>应急</v>
      </c>
      <c r="D11" t="str">
        <f>'附件3 规划内'!D246</f>
        <v>占地52.36亩，总建筑面积22341.53平方米。其中1、3号仓库地上一层；2号仓库地上两层。</v>
      </c>
      <c r="E11">
        <f>'附件3 规划内'!E246</f>
        <v>13183.31</v>
      </c>
      <c r="F11">
        <f>'附件3 规划内'!F246</f>
        <v>5800</v>
      </c>
      <c r="G11">
        <f>'附件3 规划内'!G246</f>
        <v>7383.31</v>
      </c>
      <c r="H11">
        <f>'附件3 规划内'!H246</f>
        <v>0</v>
      </c>
      <c r="I11" t="str">
        <f>'附件3 规划内'!I246</f>
        <v>完工</v>
      </c>
      <c r="J11">
        <f>'附件3 规划内'!J246</f>
        <v>13183.31</v>
      </c>
      <c r="K11">
        <f>'附件3 规划内'!K246</f>
        <v>7383.31</v>
      </c>
      <c r="L11" t="str">
        <f>'附件3 规划内'!L246</f>
        <v>一号储备库、三号储备库土方回填，二号储备库模板加工及安装。</v>
      </c>
      <c r="M11" s="26">
        <f>'附件3 规划内'!M246</f>
        <v>44348</v>
      </c>
      <c r="N11" s="26">
        <f>'附件3 规划内'!N246</f>
        <v>44896</v>
      </c>
      <c r="O11" t="str">
        <f>'附件3 规划内'!O246</f>
        <v>市应急局</v>
      </c>
      <c r="P11" t="str">
        <f>'附件3 规划内'!P246</f>
        <v>兰考县</v>
      </c>
      <c r="Q11">
        <f>'附件3 规划内'!Q246</f>
        <v>0</v>
      </c>
      <c r="R11">
        <f>'附件3 规划内'!R246</f>
        <v>0</v>
      </c>
      <c r="T11">
        <f>'附件4 规划外'!A29</f>
        <v>39</v>
      </c>
      <c r="U11" t="str">
        <f>'附件4 规划外'!B29</f>
        <v>兰考县Y007前栗线前雷集至栗场段改建工程</v>
      </c>
      <c r="V11" t="str">
        <f>'附件4 规划外'!C29</f>
        <v>交通</v>
      </c>
      <c r="W11" t="str">
        <f>'附件4 规划外'!D29</f>
        <v>三级公路3.9公里</v>
      </c>
      <c r="X11">
        <f>'附件4 规划外'!E29</f>
        <v>816.15</v>
      </c>
      <c r="Y11">
        <f>'附件4 规划外'!F29</f>
        <v>0</v>
      </c>
      <c r="Z11">
        <f>'附件4 规划外'!G29</f>
        <v>816.15</v>
      </c>
      <c r="AA11">
        <f>'附件4 规划外'!H29</f>
        <v>0</v>
      </c>
      <c r="AB11" t="str">
        <f>'附件4 规划外'!I29</f>
        <v>在建</v>
      </c>
      <c r="AC11">
        <f>'附件4 规划外'!J29</f>
        <v>600</v>
      </c>
      <c r="AD11">
        <f>'附件4 规划外'!K29</f>
        <v>600</v>
      </c>
      <c r="AE11" t="str">
        <f>'附件4 规划外'!L29</f>
        <v>在建</v>
      </c>
      <c r="AF11" s="26">
        <f>'附件4 规划外'!M29</f>
        <v>44562</v>
      </c>
      <c r="AG11" s="26">
        <f>'附件4 规划外'!N29</f>
        <v>44742</v>
      </c>
      <c r="AH11" t="str">
        <f>'附件4 规划外'!O29</f>
        <v>市交通运输局</v>
      </c>
      <c r="AI11" t="str">
        <f>'附件4 规划外'!P29</f>
        <v>兰考县</v>
      </c>
      <c r="AJ11">
        <f>'附件4 规划外'!Q29</f>
        <v>0</v>
      </c>
      <c r="AK11">
        <f>'附件4 规划外'!R29</f>
        <v>0</v>
      </c>
    </row>
    <row r="12" spans="20:37">
      <c r="T12">
        <f>'附件4 规划外'!A30</f>
        <v>40</v>
      </c>
      <c r="U12" t="str">
        <f>'附件4 规划外'!B30</f>
        <v>兰考县Y006王固线G240至小付堂段改建工程</v>
      </c>
      <c r="V12" t="str">
        <f>'附件4 规划外'!C30</f>
        <v>交通</v>
      </c>
      <c r="W12" t="str">
        <f>'附件4 规划外'!D30</f>
        <v>三级公路2.3公里</v>
      </c>
      <c r="X12">
        <f>'附件4 规划外'!E30</f>
        <v>481.32</v>
      </c>
      <c r="Y12">
        <f>'附件4 规划外'!F30</f>
        <v>0</v>
      </c>
      <c r="Z12">
        <f>'附件4 规划外'!G30</f>
        <v>481.32</v>
      </c>
      <c r="AA12">
        <f>'附件4 规划外'!H30</f>
        <v>0</v>
      </c>
      <c r="AB12" t="str">
        <f>'附件4 规划外'!I30</f>
        <v>完工</v>
      </c>
      <c r="AC12">
        <f>'附件4 规划外'!J30</f>
        <v>481.32</v>
      </c>
      <c r="AD12">
        <f>'附件4 规划外'!K30</f>
        <v>481.32</v>
      </c>
      <c r="AE12" t="str">
        <f>'附件4 规划外'!L30</f>
        <v>完工</v>
      </c>
      <c r="AF12" s="26">
        <f>'附件4 规划外'!M30</f>
        <v>44562</v>
      </c>
      <c r="AG12" s="26">
        <f>'附件4 规划外'!N30</f>
        <v>44742</v>
      </c>
      <c r="AH12" t="str">
        <f>'附件4 规划外'!O30</f>
        <v>市交通运输局</v>
      </c>
      <c r="AI12" t="str">
        <f>'附件4 规划外'!P30</f>
        <v>兰考县</v>
      </c>
      <c r="AJ12">
        <f>'附件4 规划外'!Q30</f>
        <v>0</v>
      </c>
      <c r="AK12">
        <f>'附件4 规划外'!R30</f>
        <v>0</v>
      </c>
    </row>
    <row r="13" spans="20:37">
      <c r="T13">
        <f>'附件4 规划外'!A31</f>
        <v>41</v>
      </c>
      <c r="U13" t="str">
        <f>'附件4 规划外'!B31</f>
        <v>范场至岳候线</v>
      </c>
      <c r="V13" t="str">
        <f>'附件4 规划外'!C31</f>
        <v>交通</v>
      </c>
      <c r="W13" t="str">
        <f>'附件4 规划外'!D31</f>
        <v>三级公路3.095公里</v>
      </c>
      <c r="X13">
        <f>'附件4 规划外'!E31</f>
        <v>560.17</v>
      </c>
      <c r="Y13">
        <f>'附件4 规划外'!F31</f>
        <v>0</v>
      </c>
      <c r="Z13">
        <f>'附件4 规划外'!G31</f>
        <v>560.17</v>
      </c>
      <c r="AA13">
        <f>'附件4 规划外'!H31</f>
        <v>0</v>
      </c>
      <c r="AB13" t="str">
        <f>'附件4 规划外'!I31</f>
        <v>在建</v>
      </c>
      <c r="AC13">
        <f>'附件4 规划外'!J31</f>
        <v>465</v>
      </c>
      <c r="AD13">
        <f>'附件4 规划外'!K31</f>
        <v>465</v>
      </c>
      <c r="AE13" t="str">
        <f>'附件4 规划外'!L31</f>
        <v>在建</v>
      </c>
      <c r="AF13" s="26">
        <f>'附件4 规划外'!M31</f>
        <v>44562</v>
      </c>
      <c r="AG13" s="26">
        <f>'附件4 规划外'!N31</f>
        <v>44742</v>
      </c>
      <c r="AH13" t="str">
        <f>'附件4 规划外'!O31</f>
        <v>市交通运输局</v>
      </c>
      <c r="AI13" t="str">
        <f>'附件4 规划外'!P31</f>
        <v>兰考县</v>
      </c>
      <c r="AJ13">
        <f>'附件4 规划外'!Q31</f>
        <v>0</v>
      </c>
      <c r="AK13">
        <f>'附件4 规划外'!R31</f>
        <v>0</v>
      </c>
    </row>
    <row r="14" spans="20:37">
      <c r="T14">
        <f>'附件4 规划外'!A34</f>
        <v>44</v>
      </c>
      <c r="U14" t="str">
        <f>'附件4 规划外'!B34</f>
        <v>老旧小区道路、排水管网、屋顶防水及地下室防护等基础设施改造</v>
      </c>
      <c r="V14" t="str">
        <f>'附件4 规划外'!C34</f>
        <v>市政</v>
      </c>
      <c r="W14" t="str">
        <f>'附件4 规划外'!D34</f>
        <v>涉及10538户居民，建筑面积117万平方米。</v>
      </c>
      <c r="X14">
        <f>'附件4 规划外'!E34</f>
        <v>4000</v>
      </c>
      <c r="Y14">
        <f>'附件4 规划外'!F34</f>
        <v>4000</v>
      </c>
      <c r="Z14">
        <f>'附件4 规划外'!G34</f>
        <v>0</v>
      </c>
      <c r="AA14">
        <f>'附件4 规划外'!H34</f>
        <v>0</v>
      </c>
      <c r="AB14" t="str">
        <f>'附件4 规划外'!I34</f>
        <v>完工</v>
      </c>
      <c r="AC14">
        <f>'附件4 规划外'!J34</f>
        <v>4000</v>
      </c>
      <c r="AD14" t="str">
        <f>'附件4 规划外'!K34</f>
        <v/>
      </c>
      <c r="AE14" t="str">
        <f>'附件4 规划外'!L34</f>
        <v>已完工</v>
      </c>
      <c r="AF14" s="26">
        <f>'附件4 规划外'!M34</f>
        <v>44256</v>
      </c>
      <c r="AG14" s="26">
        <f>'附件4 规划外'!N34</f>
        <v>44531</v>
      </c>
      <c r="AH14" t="str">
        <f>'附件4 规划外'!O34</f>
        <v>市城管局</v>
      </c>
      <c r="AI14" t="str">
        <f>'附件4 规划外'!P34</f>
        <v>兰考县</v>
      </c>
      <c r="AJ14">
        <f>'附件4 规划外'!Q34</f>
        <v>0</v>
      </c>
      <c r="AK14">
        <f>'附件4 规划外'!R34</f>
        <v>0</v>
      </c>
    </row>
    <row r="15" spans="20:37">
      <c r="T15">
        <f>'附件4 规划外'!A35</f>
        <v>45</v>
      </c>
      <c r="U15" t="str">
        <f>'附件4 规划外'!B35</f>
        <v>兰考县兰阳路人行道修复及管网提升整治工程</v>
      </c>
      <c r="V15" t="str">
        <f>'附件4 规划外'!C35</f>
        <v>市政</v>
      </c>
      <c r="W15" t="str">
        <f>'附件4 规划外'!D35</f>
        <v>雨污分流及人行道整治</v>
      </c>
      <c r="X15">
        <f>'附件4 规划外'!E35</f>
        <v>2000</v>
      </c>
      <c r="Y15">
        <f>'附件4 规划外'!F35</f>
        <v>400</v>
      </c>
      <c r="Z15">
        <f>'附件4 规划外'!G35</f>
        <v>1600</v>
      </c>
      <c r="AA15">
        <f>'附件4 规划外'!H35</f>
        <v>0</v>
      </c>
      <c r="AB15" t="str">
        <f>'附件4 规划外'!I35</f>
        <v>在建</v>
      </c>
      <c r="AC15">
        <f>'附件4 规划外'!J35</f>
        <v>1930</v>
      </c>
      <c r="AD15">
        <f>'附件4 规划外'!K35</f>
        <v>1530</v>
      </c>
      <c r="AE15" t="str">
        <f>'附件4 规划外'!L35</f>
        <v>兰阳路北侧人行道及管网已完成，南侧住建局正在改造施工中</v>
      </c>
      <c r="AF15" s="26">
        <f>'附件4 规划外'!M35</f>
        <v>44501</v>
      </c>
      <c r="AG15" s="26">
        <f>'附件4 规划外'!N35</f>
        <v>44835</v>
      </c>
      <c r="AH15" t="str">
        <f>'附件4 规划外'!O35</f>
        <v>市城管局</v>
      </c>
      <c r="AI15" t="str">
        <f>'附件4 规划外'!P35</f>
        <v>兰考县</v>
      </c>
      <c r="AJ15">
        <f>'附件4 规划外'!Q35</f>
        <v>0</v>
      </c>
      <c r="AK15">
        <f>'附件4 规划外'!R35</f>
        <v>0</v>
      </c>
    </row>
    <row r="16" spans="20:37">
      <c r="T16">
        <f>'附件4 规划外'!A36</f>
        <v>46</v>
      </c>
      <c r="U16" t="str">
        <f>'附件4 规划外'!B36</f>
        <v>焦裕禄纪念园周边改造提升</v>
      </c>
      <c r="V16" t="str">
        <f>'附件4 规划外'!C36</f>
        <v>市政</v>
      </c>
      <c r="W16" t="str">
        <f>'附件4 规划外'!D36</f>
        <v>陵园扩建及停车位建设</v>
      </c>
      <c r="X16">
        <f>'附件4 规划外'!E36</f>
        <v>6560</v>
      </c>
      <c r="Y16">
        <f>'附件4 规划外'!F36</f>
        <v>4770</v>
      </c>
      <c r="Z16">
        <f>'附件4 规划外'!G36</f>
        <v>1790</v>
      </c>
      <c r="AA16">
        <f>'附件4 规划外'!H36</f>
        <v>0</v>
      </c>
      <c r="AB16" t="str">
        <f>'附件4 规划外'!I36</f>
        <v>在建</v>
      </c>
      <c r="AC16">
        <f>'附件4 规划外'!J36</f>
        <v>6490</v>
      </c>
      <c r="AD16">
        <f>'附件4 规划外'!K36</f>
        <v>1720</v>
      </c>
      <c r="AE16" t="str">
        <f>'附件4 规划外'!L36</f>
        <v>陵园扩建工程5月前可完成，停车场正在施工中</v>
      </c>
      <c r="AF16" s="26">
        <f>'附件4 规划外'!M36</f>
        <v>44501</v>
      </c>
      <c r="AG16" s="26">
        <f>'附件4 规划外'!N36</f>
        <v>44835</v>
      </c>
      <c r="AH16" t="str">
        <f>'附件4 规划外'!O36</f>
        <v>市城管局</v>
      </c>
      <c r="AI16" t="str">
        <f>'附件4 规划外'!P36</f>
        <v>兰考县</v>
      </c>
      <c r="AJ16">
        <f>'附件4 规划外'!Q36</f>
        <v>0</v>
      </c>
      <c r="AK16">
        <f>'附件4 规划外'!R36</f>
        <v>0</v>
      </c>
    </row>
    <row r="17" spans="20:37">
      <c r="T17">
        <f>'附件4 规划外'!A37</f>
        <v>47</v>
      </c>
      <c r="U17" t="str">
        <f>'附件4 规划外'!B37</f>
        <v>兰考县镇区污水处理站改造</v>
      </c>
      <c r="V17" t="str">
        <f>'附件4 规划外'!C37</f>
        <v>市政</v>
      </c>
      <c r="W17" t="str">
        <f>'附件4 规划外'!D37</f>
        <v>南彰镇、小宋镇、仪封镇、许河乡、葡萄架乡5个污水站点维修改造，维修、新建、清淤污水管网30公里</v>
      </c>
      <c r="X17">
        <f>'附件4 规划外'!E37</f>
        <v>5400</v>
      </c>
      <c r="Y17">
        <f>'附件4 规划外'!F37</f>
        <v>5400</v>
      </c>
      <c r="Z17">
        <f>'附件4 规划外'!G37</f>
        <v>0</v>
      </c>
      <c r="AA17">
        <f>'附件4 规划外'!H37</f>
        <v>0</v>
      </c>
      <c r="AB17" t="str">
        <f>'附件4 规划外'!I37</f>
        <v>完工</v>
      </c>
      <c r="AC17">
        <f>'附件4 规划外'!J37</f>
        <v>5400</v>
      </c>
      <c r="AD17" t="str">
        <f>'附件4 规划外'!K37</f>
        <v/>
      </c>
      <c r="AE17" t="str">
        <f>'附件4 规划外'!L37</f>
        <v>已完工</v>
      </c>
      <c r="AF17" s="26">
        <f>'附件4 规划外'!M37</f>
        <v>44348</v>
      </c>
      <c r="AG17" s="26">
        <f>'附件4 规划外'!N37</f>
        <v>44531</v>
      </c>
      <c r="AH17" t="str">
        <f>'附件4 规划外'!O37</f>
        <v>市城管局</v>
      </c>
      <c r="AI17" t="str">
        <f>'附件4 规划外'!P37</f>
        <v>兰考县</v>
      </c>
      <c r="AJ17">
        <f>'附件4 规划外'!Q37</f>
        <v>0</v>
      </c>
      <c r="AK17">
        <f>'附件4 规划外'!R37</f>
        <v>0</v>
      </c>
    </row>
    <row r="18" spans="20:37">
      <c r="T18">
        <f>'附件4 规划外'!A38</f>
        <v>48</v>
      </c>
      <c r="U18" t="str">
        <f>'附件4 规划外'!B38</f>
        <v>兰考县产业集聚区宝龙路污水出路（污水处理厂-宝龙路）管道工程</v>
      </c>
      <c r="V18" t="str">
        <f>'附件4 规划外'!C38</f>
        <v>市政</v>
      </c>
      <c r="W18" t="str">
        <f>'附件4 规划外'!D38</f>
        <v>新建污水管网300多米，包括沉井和一体化提升泵站等内容，总投资约600万元。</v>
      </c>
      <c r="X18">
        <f>'附件4 规划外'!E38</f>
        <v>600</v>
      </c>
      <c r="Y18">
        <f>'附件4 规划外'!F38</f>
        <v>600</v>
      </c>
      <c r="Z18">
        <f>'附件4 规划外'!G38</f>
        <v>0</v>
      </c>
      <c r="AA18">
        <f>'附件4 规划外'!H38</f>
        <v>0</v>
      </c>
      <c r="AB18" t="str">
        <f>'附件4 规划外'!I38</f>
        <v>完工</v>
      </c>
      <c r="AC18">
        <f>'附件4 规划外'!J38</f>
        <v>600</v>
      </c>
      <c r="AD18" t="str">
        <f>'附件4 规划外'!K38</f>
        <v/>
      </c>
      <c r="AE18" t="str">
        <f>'附件4 规划外'!L38</f>
        <v>已完工</v>
      </c>
      <c r="AF18" s="26">
        <f>'附件4 规划外'!M38</f>
        <v>44378</v>
      </c>
      <c r="AG18" s="26">
        <f>'附件4 规划外'!N38</f>
        <v>44531</v>
      </c>
      <c r="AH18" t="str">
        <f>'附件4 规划外'!O38</f>
        <v>市城管局</v>
      </c>
      <c r="AI18" t="str">
        <f>'附件4 规划外'!P38</f>
        <v>兰考县</v>
      </c>
      <c r="AJ18">
        <f>'附件4 规划外'!Q38</f>
        <v>0</v>
      </c>
      <c r="AK18">
        <f>'附件4 规划外'!R38</f>
        <v>0</v>
      </c>
    </row>
    <row r="19" spans="20:37">
      <c r="T19">
        <f>'附件4 规划外'!A39</f>
        <v>49</v>
      </c>
      <c r="U19" t="str">
        <f>'附件4 规划外'!B39</f>
        <v>兰考县五干渠两岸护坡、护栏修复及东延清淤整治工程</v>
      </c>
      <c r="V19" t="str">
        <f>'附件4 规划外'!C39</f>
        <v>市政</v>
      </c>
      <c r="W19" t="str">
        <f>'附件4 规划外'!D39</f>
        <v>护栏、护坡、沿岸道路修复及东延新修清淤整治</v>
      </c>
      <c r="X19">
        <f>'附件4 规划外'!E39</f>
        <v>830</v>
      </c>
      <c r="Y19">
        <f>'附件4 规划外'!F39</f>
        <v>830</v>
      </c>
      <c r="Z19">
        <f>'附件4 规划外'!G39</f>
        <v>0</v>
      </c>
      <c r="AA19">
        <f>'附件4 规划外'!H39</f>
        <v>0</v>
      </c>
      <c r="AB19" t="str">
        <f>'附件4 规划外'!I39</f>
        <v>完工</v>
      </c>
      <c r="AC19">
        <f>'附件4 规划外'!J39</f>
        <v>830</v>
      </c>
      <c r="AD19" t="str">
        <f>'附件4 规划外'!K39</f>
        <v/>
      </c>
      <c r="AE19" t="str">
        <f>'附件4 规划外'!L39</f>
        <v>已完工</v>
      </c>
      <c r="AF19" s="26">
        <f>'附件4 规划外'!M39</f>
        <v>44378</v>
      </c>
      <c r="AG19" s="26">
        <f>'附件4 规划外'!N39</f>
        <v>44531</v>
      </c>
      <c r="AH19" t="str">
        <f>'附件4 规划外'!O39</f>
        <v>市城管局</v>
      </c>
      <c r="AI19" t="str">
        <f>'附件4 规划外'!P39</f>
        <v>兰考县</v>
      </c>
      <c r="AJ19">
        <f>'附件4 规划外'!Q39</f>
        <v>0</v>
      </c>
      <c r="AK19">
        <f>'附件4 规划外'!R39</f>
        <v>0</v>
      </c>
    </row>
    <row r="20" spans="20:37">
      <c r="T20">
        <f>'附件4 规划外'!A40</f>
        <v>50</v>
      </c>
      <c r="U20" t="str">
        <f>'附件4 规划外'!B40</f>
        <v>兰考县道路新建工程打包项目</v>
      </c>
      <c r="V20" t="str">
        <f>'附件4 规划外'!C40</f>
        <v>市政</v>
      </c>
      <c r="W20" t="str">
        <f>'附件4 规划外'!D40</f>
        <v>兰考县东明大道（光裕路-航海路）道路新建工道路全长9.3公里，雨水管网全长18公里，污水管网14公里；兰考县文体路（兰曹路-东环路）道路新建工程道路全长1.4里，雨水管网全长1.5公里，污水管网1.5公里；兰考县兰溪街（朝阳路-文体路）道路新建工程，道路全长1里，雨水管网全长1公里，污水管网1公里。</v>
      </c>
      <c r="X20">
        <f>'附件4 规划外'!E40</f>
        <v>54500</v>
      </c>
      <c r="Y20">
        <f>'附件4 规划外'!F40</f>
        <v>19500</v>
      </c>
      <c r="Z20">
        <f>'附件4 规划外'!G40</f>
        <v>23000</v>
      </c>
      <c r="AA20">
        <f>'附件4 规划外'!H40</f>
        <v>12000</v>
      </c>
      <c r="AB20" t="str">
        <f>'附件4 规划外'!I40</f>
        <v>在建</v>
      </c>
      <c r="AC20">
        <f>'附件4 规划外'!J40</f>
        <v>35700</v>
      </c>
      <c r="AD20">
        <f>'附件4 规划外'!K40</f>
        <v>16200</v>
      </c>
      <c r="AE20" t="str">
        <f>'附件4 规划外'!L40</f>
        <v>正在施工</v>
      </c>
      <c r="AF20" s="26">
        <f>'附件4 规划外'!M40</f>
        <v>43952</v>
      </c>
      <c r="AG20" s="26">
        <f>'附件4 规划外'!N40</f>
        <v>45139</v>
      </c>
      <c r="AH20" t="str">
        <f>'附件4 规划外'!O40</f>
        <v>市城管局</v>
      </c>
      <c r="AI20" t="str">
        <f>'附件4 规划外'!P40</f>
        <v>兰考县</v>
      </c>
      <c r="AJ20">
        <f>'附件4 规划外'!Q40</f>
        <v>0</v>
      </c>
      <c r="AK20">
        <f>'附件4 规划外'!R40</f>
        <v>0</v>
      </c>
    </row>
    <row r="21" spans="20:37">
      <c r="T21">
        <f>'附件4 规划外'!A41</f>
        <v>51</v>
      </c>
      <c r="U21" t="str">
        <f>'附件4 规划外'!B41</f>
        <v>兰考城区积水点改造项目</v>
      </c>
      <c r="V21" t="str">
        <f>'附件4 规划外'!C41</f>
        <v>市政</v>
      </c>
      <c r="W21" t="str">
        <f>'附件4 规划外'!D41</f>
        <v>新建泵站3座，新建排水设管网3公里以及道路人行道恢复，打通入河口3处，新建截水沟2处。</v>
      </c>
      <c r="X21">
        <f>'附件4 规划外'!E41</f>
        <v>4000</v>
      </c>
      <c r="Y21">
        <f>'附件4 规划外'!F41</f>
        <v>2000</v>
      </c>
      <c r="Z21">
        <f>'附件4 规划外'!G41</f>
        <v>2000</v>
      </c>
      <c r="AA21">
        <f>'附件4 规划外'!H41</f>
        <v>0</v>
      </c>
      <c r="AB21" t="str">
        <f>'附件4 规划外'!I41</f>
        <v>在建</v>
      </c>
      <c r="AC21">
        <f>'附件4 规划外'!J41</f>
        <v>3750</v>
      </c>
      <c r="AD21">
        <f>'附件4 规划外'!K41</f>
        <v>1750</v>
      </c>
      <c r="AE21" t="str">
        <f>'附件4 规划外'!L41</f>
        <v>正在施工</v>
      </c>
      <c r="AF21" s="26">
        <f>'附件4 规划外'!M41</f>
        <v>44501</v>
      </c>
      <c r="AG21" s="26">
        <f>'附件4 规划外'!N41</f>
        <v>44743</v>
      </c>
      <c r="AH21" t="str">
        <f>'附件4 规划外'!O41</f>
        <v>市城管局</v>
      </c>
      <c r="AI21" t="str">
        <f>'附件4 规划外'!P41</f>
        <v>兰考县</v>
      </c>
      <c r="AJ21">
        <f>'附件4 规划外'!Q41</f>
        <v>0</v>
      </c>
      <c r="AK21">
        <f>'附件4 规划外'!R41</f>
        <v>0</v>
      </c>
    </row>
    <row r="22" spans="20:37">
      <c r="T22">
        <f>'附件4 规划外'!A42</f>
        <v>52</v>
      </c>
      <c r="U22" t="str">
        <f>'附件4 规划外'!B42</f>
        <v>阳泰街（迎宾大道-三义路）建设工程</v>
      </c>
      <c r="V22" t="str">
        <f>'附件4 规划外'!C42</f>
        <v>市政</v>
      </c>
      <c r="W22" t="str">
        <f>'附件4 规划外'!D42</f>
        <v>建设内容为：新建雨水管道、道路、照明、交通、绿化等内容</v>
      </c>
      <c r="X22">
        <f>'附件4 规划外'!E42</f>
        <v>750</v>
      </c>
      <c r="Y22">
        <f>'附件4 规划外'!F42</f>
        <v>550</v>
      </c>
      <c r="Z22">
        <f>'附件4 规划外'!G42</f>
        <v>200</v>
      </c>
      <c r="AA22">
        <f>'附件4 规划外'!H42</f>
        <v>0</v>
      </c>
      <c r="AB22" t="str">
        <f>'附件4 规划外'!I42</f>
        <v>完工</v>
      </c>
      <c r="AC22">
        <f>'附件4 规划外'!J42</f>
        <v>750</v>
      </c>
      <c r="AD22">
        <f>'附件4 规划外'!K42</f>
        <v>200</v>
      </c>
      <c r="AE22" t="str">
        <f>'附件4 规划外'!L42</f>
        <v>已完工</v>
      </c>
      <c r="AF22" s="26">
        <f>'附件4 规划外'!M42</f>
        <v>44470</v>
      </c>
      <c r="AG22" s="26">
        <f>'附件4 规划外'!N42</f>
        <v>44593</v>
      </c>
      <c r="AH22" t="str">
        <f>'附件4 规划外'!O42</f>
        <v>市城管局</v>
      </c>
      <c r="AI22" t="str">
        <f>'附件4 规划外'!P42</f>
        <v>兰考县</v>
      </c>
      <c r="AJ22">
        <f>'附件4 规划外'!Q42</f>
        <v>0</v>
      </c>
      <c r="AK22">
        <f>'附件4 规划外'!R42</f>
        <v>0</v>
      </c>
    </row>
    <row r="23" spans="20:37">
      <c r="T23">
        <f>'附件4 规划外'!A91</f>
        <v>101</v>
      </c>
      <c r="U23" t="str">
        <f>'附件4 规划外'!B91</f>
        <v>兰考县乡镇敬老院灾后重建项目</v>
      </c>
      <c r="V23" t="str">
        <f>'附件4 规划外'!C91</f>
        <v>民政</v>
      </c>
      <c r="W23" t="str">
        <f>'附件4 规划外'!D91</f>
        <v>1.红庙敬老院：规划占地面积30亩，建筑面积300平方米，新建养老床位65张；2.葡萄架敬老院：规划占地面积32亩，新建综合服务楼3800平方米。设置床位85张；3.仪封镇敬老院：规划占地面积30亩，建筑面积300平方米，新建养老床位65张。</v>
      </c>
      <c r="X23">
        <f>'附件4 规划外'!E91</f>
        <v>3000</v>
      </c>
      <c r="Y23">
        <f>'附件4 规划外'!F91</f>
        <v>1000</v>
      </c>
      <c r="Z23">
        <f>'附件4 规划外'!G91</f>
        <v>1500</v>
      </c>
      <c r="AA23">
        <f>'附件4 规划外'!H91</f>
        <v>500</v>
      </c>
      <c r="AB23" t="str">
        <f>'附件4 规划外'!I91</f>
        <v>在建</v>
      </c>
      <c r="AC23">
        <f>'附件4 规划外'!J91</f>
        <v>2200</v>
      </c>
      <c r="AD23">
        <f>'附件4 规划外'!K91</f>
        <v>1200</v>
      </c>
      <c r="AE23" t="str">
        <f>'附件4 规划外'!L91</f>
        <v>主体工程已完成，因疫情原因，本周未开工</v>
      </c>
      <c r="AF23" s="26">
        <f>'附件4 规划外'!M91</f>
        <v>44501</v>
      </c>
      <c r="AG23" s="26">
        <f>'附件4 规划外'!N91</f>
        <v>45200</v>
      </c>
      <c r="AH23" t="str">
        <f>'附件4 规划外'!O91</f>
        <v>市民政局</v>
      </c>
      <c r="AI23" t="str">
        <f>'附件4 规划外'!P91</f>
        <v>兰考县</v>
      </c>
      <c r="AJ23">
        <f>'附件4 规划外'!Q91</f>
        <v>0</v>
      </c>
      <c r="AK23">
        <f>'附件4 规划外'!R91</f>
        <v>0</v>
      </c>
    </row>
    <row r="24" spans="20:37">
      <c r="T24">
        <f>'附件4 规划外'!A92</f>
        <v>102</v>
      </c>
      <c r="U24" t="str">
        <f>'附件4 规划外'!B92</f>
        <v>兰考县城区中心敬老院建设</v>
      </c>
      <c r="V24" t="str">
        <f>'附件4 规划外'!C92</f>
        <v>民政</v>
      </c>
      <c r="W24" t="str">
        <f>'附件4 规划外'!D92</f>
        <v>规划建筑面积7720平方米，设计床位220张。</v>
      </c>
      <c r="X24">
        <f>'附件4 规划外'!E92</f>
        <v>1430</v>
      </c>
      <c r="Y24">
        <f>'附件4 规划外'!F92</f>
        <v>500</v>
      </c>
      <c r="Z24">
        <f>'附件4 规划外'!G92</f>
        <v>930</v>
      </c>
      <c r="AA24">
        <f>'附件4 规划外'!H92</f>
        <v>0</v>
      </c>
      <c r="AB24" t="str">
        <f>'附件4 规划外'!I92</f>
        <v>在建</v>
      </c>
      <c r="AC24">
        <f>'附件4 规划外'!J92</f>
        <v>1215</v>
      </c>
      <c r="AD24">
        <f>'附件4 规划外'!K92</f>
        <v>715</v>
      </c>
      <c r="AE24" t="str">
        <f>'附件4 规划外'!L92</f>
        <v>主体工程已完成，因疫情原因，本周未开工</v>
      </c>
      <c r="AF24" s="26">
        <f>'附件4 规划外'!M92</f>
        <v>44501</v>
      </c>
      <c r="AG24" s="26">
        <f>'附件4 规划外'!N92</f>
        <v>44896</v>
      </c>
      <c r="AH24" t="str">
        <f>'附件4 规划外'!O92</f>
        <v>市民政局</v>
      </c>
      <c r="AI24" t="str">
        <f>'附件4 规划外'!P92</f>
        <v>兰考县</v>
      </c>
      <c r="AJ24">
        <f>'附件4 规划外'!Q92</f>
        <v>0</v>
      </c>
      <c r="AK24">
        <f>'附件4 规划外'!R92</f>
        <v>0</v>
      </c>
    </row>
    <row r="25" spans="20:37">
      <c r="T25">
        <f>'附件4 规划外'!A121</f>
        <v>134</v>
      </c>
      <c r="U25" t="str">
        <f>'附件4 规划外'!B121</f>
        <v>兰考县粮食和物资储备局粮食仓储物流设施项目</v>
      </c>
      <c r="V25" t="str">
        <f>'附件4 规划外'!C121</f>
        <v>粮食储备</v>
      </c>
      <c r="W25" t="str">
        <f>'附件4 规划外'!D121</f>
        <v>建设投资1.52亿元人民币，本年度计划使用地方专项债4500万元，目前已招标2600万元：建设具有4.1万吨粮食仓库，2000㎡地坪，下水道300米，购置输送机、装粮机、卸粮机、振动筛、平仓机。1900万元未招标。</v>
      </c>
      <c r="X25">
        <f>'附件4 规划外'!E121</f>
        <v>15215</v>
      </c>
      <c r="Y25">
        <f>'附件4 规划外'!F121</f>
        <v>0</v>
      </c>
      <c r="Z25">
        <f>'附件4 规划外'!G121</f>
        <v>2600</v>
      </c>
      <c r="AA25">
        <f>'附件4 规划外'!H121</f>
        <v>12615</v>
      </c>
      <c r="AB25" t="str">
        <f>'附件4 规划外'!I121</f>
        <v>在建</v>
      </c>
      <c r="AC25">
        <f>'附件4 规划外'!J121</f>
        <v>2600</v>
      </c>
      <c r="AD25">
        <f>'附件4 规划外'!K121</f>
        <v>2600</v>
      </c>
      <c r="AE25" t="str">
        <f>'附件4 规划外'!L121</f>
        <v>已招标项目正在设计图纸</v>
      </c>
      <c r="AF25" s="26">
        <f>'附件4 规划外'!M121</f>
        <v>44676</v>
      </c>
      <c r="AG25" s="26">
        <f>'附件4 规划外'!N121</f>
        <v>45261</v>
      </c>
      <c r="AH25" t="str">
        <f>'附件4 规划外'!O121</f>
        <v>市粮食和储备局</v>
      </c>
      <c r="AI25" t="str">
        <f>'附件4 规划外'!P121</f>
        <v>兰考县</v>
      </c>
      <c r="AJ25">
        <f>'附件4 规划外'!Q121</f>
        <v>0</v>
      </c>
      <c r="AK25">
        <f>'附件4 规划外'!R121</f>
        <v>0</v>
      </c>
    </row>
    <row r="26" spans="20:37">
      <c r="T26">
        <f>'附件4 规划外'!A197</f>
        <v>210</v>
      </c>
      <c r="U26" t="str">
        <f>'附件4 规划外'!B197</f>
        <v>2022年兰考县中型灌区续建配套与节水改造项目</v>
      </c>
      <c r="V26" t="str">
        <f>'附件4 规划外'!C197</f>
        <v>其他</v>
      </c>
      <c r="W26" t="str">
        <f>'附件4 规划外'!D197</f>
        <v>北滩灌区2022年度工程涉及渠道衬砌3条共20.16千米，量测水设施6处，建设管理道路18公里。</v>
      </c>
      <c r="X26">
        <f>'附件4 规划外'!E197</f>
        <v>3257</v>
      </c>
      <c r="Y26">
        <f>'附件4 规划外'!F197</f>
        <v>0</v>
      </c>
      <c r="Z26">
        <f>'附件4 规划外'!G197</f>
        <v>2606</v>
      </c>
      <c r="AA26">
        <f>'附件4 规划外'!H197</f>
        <v>0</v>
      </c>
      <c r="AB26" t="str">
        <f>'附件4 规划外'!I197</f>
        <v>在建</v>
      </c>
      <c r="AC26">
        <f>'附件4 规划外'!J197</f>
        <v>3490</v>
      </c>
      <c r="AD26">
        <f>'附件4 规划外'!K197</f>
        <v>3490</v>
      </c>
      <c r="AE26">
        <f>'附件4 规划外'!L197</f>
        <v>0</v>
      </c>
      <c r="AF26">
        <f>'附件4 规划外'!M197</f>
        <v>44652</v>
      </c>
      <c r="AG26">
        <f>'附件4 规划外'!N197</f>
        <v>44896</v>
      </c>
      <c r="AH26" t="str">
        <f>'附件4 规划外'!O197</f>
        <v>市水利局</v>
      </c>
      <c r="AI26" t="str">
        <f>'附件4 规划外'!P197</f>
        <v>兰考县</v>
      </c>
      <c r="AJ26">
        <f>'附件4 规划外'!Q197</f>
        <v>0</v>
      </c>
      <c r="AK26">
        <f>'附件4 规划外'!R197</f>
        <v>0</v>
      </c>
    </row>
    <row r="27" spans="20:37">
      <c r="T27">
        <f>'附件4 规划外'!A207</f>
        <v>220</v>
      </c>
      <c r="U27" t="str">
        <f>'附件4 规划外'!B207</f>
        <v>兰考县水资源节约管理与保护</v>
      </c>
      <c r="V27" t="str">
        <f>'附件4 规划外'!C207</f>
        <v>其他</v>
      </c>
      <c r="W27" t="str">
        <f>'附件4 规划外'!D207</f>
        <v>北滩灌区渠首安装监测计量设备</v>
      </c>
      <c r="X27">
        <f>'附件4 规划外'!E207</f>
        <v>8</v>
      </c>
      <c r="Y27">
        <f>'附件4 规划外'!F207</f>
        <v>0</v>
      </c>
      <c r="Z27">
        <f>'附件4 规划外'!G207</f>
        <v>8</v>
      </c>
      <c r="AA27">
        <f>'附件4 规划外'!H207</f>
        <v>0</v>
      </c>
      <c r="AB27" t="str">
        <f>'附件4 规划外'!I207</f>
        <v>完工</v>
      </c>
      <c r="AC27">
        <f>'附件4 规划外'!J207</f>
        <v>8</v>
      </c>
      <c r="AD27">
        <f>'附件4 规划外'!K207</f>
        <v>8</v>
      </c>
      <c r="AE27">
        <f>'附件4 规划外'!L207</f>
        <v>0</v>
      </c>
      <c r="AF27">
        <f>'附件4 规划外'!M207</f>
        <v>44682</v>
      </c>
      <c r="AG27">
        <f>'附件4 规划外'!N207</f>
        <v>44713</v>
      </c>
      <c r="AH27" t="str">
        <f>'附件4 规划外'!O207</f>
        <v>市水利局</v>
      </c>
      <c r="AI27" t="str">
        <f>'附件4 规划外'!P207</f>
        <v>兰考县</v>
      </c>
      <c r="AJ27">
        <f>'附件4 规划外'!Q207</f>
        <v>0</v>
      </c>
      <c r="AK27">
        <f>'附件4 规划外'!R207</f>
        <v>0</v>
      </c>
    </row>
    <row r="28" spans="20:37">
      <c r="T28">
        <f>'附件4 规划外'!A213</f>
        <v>226</v>
      </c>
      <c r="U28" t="str">
        <f>'附件4 规划外'!B213</f>
        <v>兰考县农村饮水工程维修养护</v>
      </c>
      <c r="V28" t="str">
        <f>'附件4 规划外'!C213</f>
        <v>其他</v>
      </c>
      <c r="W28" t="str">
        <f>'附件4 规划外'!D213</f>
        <v>管网改造5处，共计 64791m，更换消毒柜7套，洗井4眼，更换阀门井3处，更换50t 卧式压力罐2套,打井1眼。</v>
      </c>
      <c r="X28">
        <f>'附件4 规划外'!E213</f>
        <v>253</v>
      </c>
      <c r="Y28">
        <f>'附件4 规划外'!F213</f>
        <v>0</v>
      </c>
      <c r="Z28">
        <f>'附件4 规划外'!G213</f>
        <v>253</v>
      </c>
      <c r="AA28">
        <f>'附件4 规划外'!H213</f>
        <v>0</v>
      </c>
      <c r="AB28" t="str">
        <f>'附件4 规划外'!I213</f>
        <v>完工</v>
      </c>
      <c r="AC28">
        <f>'附件4 规划外'!J213</f>
        <v>253</v>
      </c>
      <c r="AD28">
        <f>'附件4 规划外'!K213</f>
        <v>253</v>
      </c>
      <c r="AE28">
        <f>'附件4 规划外'!L213</f>
        <v>0</v>
      </c>
      <c r="AF28">
        <f>'附件4 规划外'!M213</f>
        <v>44682</v>
      </c>
      <c r="AG28">
        <f>'附件4 规划外'!N213</f>
        <v>44713</v>
      </c>
      <c r="AH28" t="str">
        <f>'附件4 规划外'!O213</f>
        <v>市水利局</v>
      </c>
      <c r="AI28" t="str">
        <f>'附件4 规划外'!P213</f>
        <v>兰考县</v>
      </c>
      <c r="AJ28">
        <f>'附件4 规划外'!Q213</f>
        <v>0</v>
      </c>
      <c r="AK28">
        <f>'附件4 规划外'!R213</f>
        <v>0</v>
      </c>
    </row>
    <row r="29" spans="20:37">
      <c r="T29">
        <f>'附件4 规划外'!A216</f>
        <v>230</v>
      </c>
      <c r="U29" t="str">
        <f>'附件4 规划外'!B216</f>
        <v>兰考县薛楼城中村改造项目（嘉和苑一期）配套基础设施建设项目</v>
      </c>
      <c r="V29" t="str">
        <f>'附件4 规划外'!C216</f>
        <v>其他</v>
      </c>
      <c r="W29" t="str">
        <f>'附件4 规划外'!D216</f>
        <v>棚户区改造相关配套基础设施建设</v>
      </c>
      <c r="X29">
        <f>'附件4 规划外'!E216</f>
        <v>1488</v>
      </c>
      <c r="Y29">
        <f>'附件4 规划外'!F216</f>
        <v>0</v>
      </c>
      <c r="Z29">
        <f>'附件4 规划外'!G216</f>
        <v>1488</v>
      </c>
      <c r="AA29">
        <f>'附件4 规划外'!H216</f>
        <v>0</v>
      </c>
      <c r="AB29" t="str">
        <f>'附件4 规划外'!I216</f>
        <v>在建</v>
      </c>
      <c r="AC29">
        <f>'附件4 规划外'!J216</f>
        <v>297</v>
      </c>
      <c r="AD29">
        <f>'附件4 规划外'!K216</f>
        <v>297</v>
      </c>
      <c r="AE29" t="str">
        <f>'附件4 规划外'!L216</f>
        <v>正在进行招投标手续，手续完成后开工</v>
      </c>
      <c r="AF29">
        <f>'附件4 规划外'!M216</f>
        <v>44713</v>
      </c>
      <c r="AG29">
        <f>'附件4 规划外'!N216</f>
        <v>44896</v>
      </c>
      <c r="AH29" t="str">
        <f>'附件4 规划外'!O216</f>
        <v>市住房城乡建设局</v>
      </c>
      <c r="AI29" t="str">
        <f>'附件4 规划外'!P216</f>
        <v>兰考县</v>
      </c>
      <c r="AJ29">
        <f>'附件4 规划外'!Q216</f>
        <v>0</v>
      </c>
      <c r="AK29">
        <f>'附件4 规划外'!R216</f>
        <v>0</v>
      </c>
    </row>
    <row r="30" spans="20:37">
      <c r="T30">
        <f>'附件4 规划外'!A218</f>
        <v>232</v>
      </c>
      <c r="U30" t="str">
        <f>'附件4 规划外'!B218</f>
        <v>焦裕禄烈士墓保护利用设施</v>
      </c>
      <c r="V30" t="str">
        <f>'附件4 规划外'!C218</f>
        <v>其他</v>
      </c>
      <c r="W30">
        <f>'附件4 规划外'!D218</f>
        <v>0</v>
      </c>
      <c r="X30">
        <f>'附件4 规划外'!E218</f>
        <v>2023</v>
      </c>
      <c r="Y30">
        <f>'附件4 规划外'!F218</f>
        <v>0</v>
      </c>
      <c r="Z30">
        <f>'附件4 规划外'!G218</f>
        <v>1800</v>
      </c>
      <c r="AA30">
        <f>'附件4 规划外'!H218</f>
        <v>0</v>
      </c>
      <c r="AB30" t="str">
        <f>'附件4 规划外'!I218</f>
        <v>在建</v>
      </c>
      <c r="AC30">
        <f>'附件4 规划外'!J218</f>
        <v>700</v>
      </c>
      <c r="AD30">
        <f>'附件4 规划外'!K218</f>
        <v>700</v>
      </c>
      <c r="AE30">
        <f>'附件4 规划外'!L218</f>
        <v>0</v>
      </c>
      <c r="AF30">
        <f>'附件4 规划外'!M218</f>
        <v>44562</v>
      </c>
      <c r="AG30">
        <f>'附件4 规划外'!N218</f>
        <v>45261</v>
      </c>
      <c r="AH30" t="str">
        <f>'附件4 规划外'!O218</f>
        <v>市文化广电旅游局</v>
      </c>
      <c r="AI30" t="str">
        <f>'附件4 规划外'!P218</f>
        <v>兰考县</v>
      </c>
      <c r="AJ30">
        <f>'附件4 规划外'!Q218</f>
        <v>0</v>
      </c>
      <c r="AK30">
        <f>'附件4 规划外'!R218</f>
        <v>0</v>
      </c>
    </row>
    <row r="31" spans="20:37">
      <c r="T31">
        <f>'附件4 规划外'!A220</f>
        <v>234</v>
      </c>
      <c r="U31" t="str">
        <f>'附件4 规划外'!B220</f>
        <v>兰考县兰阳街道第一小学教学用房、餐厅项目</v>
      </c>
      <c r="V31" t="str">
        <f>'附件4 规划外'!C220</f>
        <v>其他</v>
      </c>
      <c r="W31" t="str">
        <f>'附件4 规划外'!D220</f>
        <v>教学楼</v>
      </c>
      <c r="X31">
        <f>'附件4 规划外'!E220</f>
        <v>1250</v>
      </c>
      <c r="Y31">
        <f>'附件4 规划外'!F220</f>
        <v>0</v>
      </c>
      <c r="Z31">
        <f>'附件4 规划外'!G220</f>
        <v>700</v>
      </c>
      <c r="AA31">
        <f>'附件4 规划外'!H220</f>
        <v>0</v>
      </c>
      <c r="AB31" t="str">
        <f>'附件4 规划外'!I220</f>
        <v>在建</v>
      </c>
      <c r="AC31">
        <f>'附件4 规划外'!J220</f>
        <v>700</v>
      </c>
      <c r="AD31">
        <f>'附件4 规划外'!K220</f>
        <v>700</v>
      </c>
      <c r="AE31">
        <f>'附件4 规划外'!L220</f>
        <v>0</v>
      </c>
      <c r="AF31">
        <f>'附件4 规划外'!M220</f>
        <v>44562</v>
      </c>
      <c r="AG31">
        <f>'附件4 规划外'!N220</f>
        <v>45261</v>
      </c>
      <c r="AH31" t="str">
        <f>'附件4 规划外'!O220</f>
        <v>市教体局</v>
      </c>
      <c r="AI31" t="str">
        <f>'附件4 规划外'!P220</f>
        <v>兰考县</v>
      </c>
      <c r="AJ31">
        <f>'附件4 规划外'!Q220</f>
        <v>0</v>
      </c>
      <c r="AK31">
        <f>'附件4 规划外'!R220</f>
        <v>0</v>
      </c>
    </row>
    <row r="32" spans="20:37">
      <c r="T32">
        <f>'附件4 规划外'!A221</f>
        <v>235</v>
      </c>
      <c r="U32" t="str">
        <f>'附件4 规划外'!B221</f>
        <v>兰考县兰阳第三中学建设项目</v>
      </c>
      <c r="V32" t="str">
        <f>'附件4 规划外'!C221</f>
        <v>其他</v>
      </c>
      <c r="W32" t="str">
        <f>'附件4 规划外'!D221</f>
        <v>教学楼、运动场</v>
      </c>
      <c r="X32">
        <f>'附件4 规划外'!E221</f>
        <v>1250</v>
      </c>
      <c r="Y32">
        <f>'附件4 规划外'!F221</f>
        <v>0</v>
      </c>
      <c r="Z32">
        <f>'附件4 规划外'!G221</f>
        <v>300</v>
      </c>
      <c r="AA32">
        <f>'附件4 规划外'!H221</f>
        <v>0</v>
      </c>
      <c r="AB32" t="str">
        <f>'附件4 规划外'!I221</f>
        <v>在建</v>
      </c>
      <c r="AC32">
        <f>'附件4 规划外'!J221</f>
        <v>30</v>
      </c>
      <c r="AD32">
        <f>'附件4 规划外'!K221</f>
        <v>30</v>
      </c>
      <c r="AE32">
        <f>'附件4 规划外'!L221</f>
        <v>0</v>
      </c>
      <c r="AF32">
        <f>'附件4 规划外'!M221</f>
        <v>44835</v>
      </c>
      <c r="AG32">
        <f>'附件4 规划外'!N221</f>
        <v>45261</v>
      </c>
      <c r="AH32" t="str">
        <f>'附件4 规划外'!O221</f>
        <v>市教体局</v>
      </c>
      <c r="AI32" t="str">
        <f>'附件4 规划外'!P221</f>
        <v>兰考县</v>
      </c>
      <c r="AJ32">
        <f>'附件4 规划外'!Q221</f>
        <v>0</v>
      </c>
      <c r="AK32">
        <f>'附件4 规划外'!R221</f>
        <v>0</v>
      </c>
    </row>
    <row r="33" spans="20:37">
      <c r="T33">
        <f>'附件4 规划外'!A225</f>
        <v>239</v>
      </c>
      <c r="U33" t="str">
        <f>'附件4 规划外'!B225</f>
        <v>兰考县高标准农田</v>
      </c>
      <c r="V33" t="str">
        <f>'附件4 规划外'!C225</f>
        <v>其他</v>
      </c>
      <c r="W33">
        <f>'附件4 规划外'!D225</f>
        <v>0</v>
      </c>
      <c r="X33">
        <f>'附件4 规划外'!E225</f>
        <v>8204</v>
      </c>
      <c r="Y33">
        <f>'附件4 规划外'!F225</f>
        <v>0</v>
      </c>
      <c r="Z33">
        <f>'附件4 规划外'!G225</f>
        <v>3500</v>
      </c>
      <c r="AA33">
        <f>'附件4 规划外'!H225</f>
        <v>0</v>
      </c>
      <c r="AB33" t="str">
        <f>'附件4 规划外'!I225</f>
        <v>在建</v>
      </c>
      <c r="AC33">
        <f>'附件4 规划外'!J225</f>
        <v>5994</v>
      </c>
      <c r="AD33">
        <f>'附件4 规划外'!K225</f>
        <v>5994</v>
      </c>
      <c r="AE33">
        <f>'附件4 规划外'!L225</f>
        <v>0</v>
      </c>
      <c r="AF33">
        <f>'附件4 规划外'!M225</f>
        <v>44712</v>
      </c>
      <c r="AG33">
        <f>'附件4 规划外'!N225</f>
        <v>45291</v>
      </c>
      <c r="AH33" t="str">
        <f>'附件4 规划外'!O225</f>
        <v>市农业农村局</v>
      </c>
      <c r="AI33" t="str">
        <f>'附件4 规划外'!P225</f>
        <v>兰考县</v>
      </c>
      <c r="AJ33">
        <f>'附件4 规划外'!Q225</f>
        <v>0</v>
      </c>
      <c r="AK33">
        <f>'附件4 规划外'!R225</f>
        <v>0</v>
      </c>
    </row>
  </sheetData>
  <sheetProtection formatCells="0" formatColumns="0" formatRows="0" sort="0" autoFilter="0"/>
  <autoFilter ref="A6:AK33">
    <extLst/>
  </autoFilter>
  <mergeCells count="5">
    <mergeCell ref="A1:G1"/>
    <mergeCell ref="H1:M1"/>
    <mergeCell ref="O1:U1"/>
    <mergeCell ref="A5:R5"/>
    <mergeCell ref="T5:AK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6"/>
  <sheetViews>
    <sheetView zoomScale="90" zoomScaleNormal="90" topLeftCell="P1" workbookViewId="0">
      <pane ySplit="6" topLeftCell="A7" activePane="bottomLeft" state="frozen"/>
      <selection/>
      <selection pane="bottomLeft" activeCell="AB20" sqref="AB20"/>
    </sheetView>
  </sheetViews>
  <sheetFormatPr defaultColWidth="9" defaultRowHeight="13.5"/>
  <cols>
    <col min="7" max="7" width="9.45" customWidth="1"/>
    <col min="13" max="14" width="11.9083333333333" customWidth="1"/>
    <col min="32" max="33" width="11.9083333333333" customWidth="1"/>
  </cols>
  <sheetData>
    <row r="1" ht="14.15" customHeight="1" spans="1:21">
      <c r="A1" s="2" t="s">
        <v>1190</v>
      </c>
      <c r="B1" s="3"/>
      <c r="C1" s="3"/>
      <c r="D1" s="3"/>
      <c r="E1" s="3"/>
      <c r="F1" s="3"/>
      <c r="G1" s="4"/>
      <c r="H1" s="5" t="s">
        <v>1191</v>
      </c>
      <c r="I1" s="5"/>
      <c r="J1" s="5"/>
      <c r="K1" s="5"/>
      <c r="L1" s="5"/>
      <c r="M1" s="5"/>
      <c r="N1" s="5"/>
      <c r="O1" s="16" t="s">
        <v>1191</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28</v>
      </c>
      <c r="C3" s="10">
        <f t="shared" ref="C3:F4" si="0">J3+Q3</f>
        <v>78160.64</v>
      </c>
      <c r="D3" s="10">
        <f t="shared" si="0"/>
        <v>28</v>
      </c>
      <c r="E3" s="10">
        <f t="shared" si="0"/>
        <v>18</v>
      </c>
      <c r="F3" s="10">
        <f t="shared" si="0"/>
        <v>64312.64</v>
      </c>
      <c r="G3" s="11">
        <f>IF(C3=0,"-",ROUND(F3/C3,3))</f>
        <v>0.823</v>
      </c>
      <c r="H3" s="8" t="s">
        <v>1146</v>
      </c>
      <c r="I3" s="17">
        <f>COUNT(E7:E122)</f>
        <v>20</v>
      </c>
      <c r="J3" s="21">
        <f>SUM(E7:E122)</f>
        <v>51892.64</v>
      </c>
      <c r="K3" s="21">
        <f>COUNTIF(I7:I122,"在建")+COUNTIF(I7:I122,"完工")</f>
        <v>20</v>
      </c>
      <c r="L3" s="21">
        <f>COUNTIF(I7:I122,"完工")</f>
        <v>13</v>
      </c>
      <c r="M3" s="17">
        <f>SUM(J7:J122)</f>
        <v>43400.64</v>
      </c>
      <c r="N3" s="22">
        <f>IF(J3=0,"-",ROUND(M3/J3,3))</f>
        <v>0.836</v>
      </c>
      <c r="O3" s="19" t="s">
        <v>1146</v>
      </c>
      <c r="P3" s="20">
        <f>COUNT(X7:X122)</f>
        <v>8</v>
      </c>
      <c r="Q3" s="24">
        <f>SUM(X7:X122)</f>
        <v>26268</v>
      </c>
      <c r="R3" s="24">
        <f>COUNTIF(AB7:AB122,"在建")+COUNTIF(AB7:AB122,"完工")</f>
        <v>8</v>
      </c>
      <c r="S3" s="24">
        <f>COUNTIF(AB7:AB122,"完工")</f>
        <v>5</v>
      </c>
      <c r="T3" s="20">
        <f>SUM(AC7:AC122)</f>
        <v>20912</v>
      </c>
      <c r="U3" s="25">
        <f>IF(Q3=0,"-",ROUND(T3/Q3,3))</f>
        <v>0.796</v>
      </c>
    </row>
    <row r="4" ht="27" spans="1:21">
      <c r="A4" s="9" t="s">
        <v>1147</v>
      </c>
      <c r="B4" s="10">
        <f>I4+P4</f>
        <v>23</v>
      </c>
      <c r="C4" s="10">
        <f t="shared" si="0"/>
        <v>66839.2</v>
      </c>
      <c r="D4" s="10">
        <f t="shared" si="0"/>
        <v>23</v>
      </c>
      <c r="E4" s="10">
        <f t="shared" si="0"/>
        <v>13</v>
      </c>
      <c r="F4" s="10">
        <f t="shared" si="0"/>
        <v>59178.2</v>
      </c>
      <c r="G4" s="12">
        <f>IF(C4=0,"-",ROUND(F4/C4,3))</f>
        <v>0.885</v>
      </c>
      <c r="H4" s="8" t="s">
        <v>1147</v>
      </c>
      <c r="I4" s="17">
        <f>COUNTIF(G7:G122,"&gt;0")</f>
        <v>17</v>
      </c>
      <c r="J4" s="21">
        <f>SUM(G7:G122)</f>
        <v>48611.2</v>
      </c>
      <c r="K4" s="21">
        <f>COUNTIFS(G7:G122,"&gt;0",I7:I122,"完工")+COUNTIFS(G7:G122,"&gt;0",I7:I122,"在建")</f>
        <v>17</v>
      </c>
      <c r="L4" s="21">
        <f>COUNTIFS(G7:G122,"&gt;0",I7:I122,"完工")</f>
        <v>10</v>
      </c>
      <c r="M4" s="17">
        <f>SUM(K7:K122)</f>
        <v>40119.2</v>
      </c>
      <c r="N4" s="22">
        <f>IF(J4=0,"-",ROUND(M4/J4,3))</f>
        <v>0.825</v>
      </c>
      <c r="O4" s="19" t="s">
        <v>1147</v>
      </c>
      <c r="P4" s="20">
        <f>COUNTIF(Z7:Z122,"&gt;0")</f>
        <v>6</v>
      </c>
      <c r="Q4" s="24">
        <f>SUM(Z7:Z122)</f>
        <v>18228</v>
      </c>
      <c r="R4" s="24">
        <f>COUNTIFS(Z7:Z122,"&gt;0",AB7:AB122,"完工")+COUNTIFS(Z7:Z122,"&gt;0",AB7:AB122,"在建")</f>
        <v>6</v>
      </c>
      <c r="S4" s="24">
        <f>COUNTIFS(Z7:Z122,"&gt;0",AB7:AB122,"完工")</f>
        <v>3</v>
      </c>
      <c r="T4" s="20">
        <f>SUM(AD7:AD122)</f>
        <v>19059</v>
      </c>
      <c r="U4" s="25">
        <f>IF(Q4=0,"-",ROUND(T4/Q4,3))</f>
        <v>1.046</v>
      </c>
    </row>
    <row r="5" s="1" customFormat="1" spans="1:37">
      <c r="A5" s="13" t="s">
        <v>1192</v>
      </c>
      <c r="B5" s="14"/>
      <c r="C5" s="14"/>
      <c r="D5" s="14"/>
      <c r="E5" s="14"/>
      <c r="F5" s="14"/>
      <c r="G5" s="14"/>
      <c r="H5" s="14"/>
      <c r="I5" s="14"/>
      <c r="J5" s="14"/>
      <c r="K5" s="14"/>
      <c r="L5" s="14"/>
      <c r="M5" s="14"/>
      <c r="N5" s="14"/>
      <c r="O5" s="14"/>
      <c r="P5" s="14"/>
      <c r="Q5" s="14"/>
      <c r="R5" s="36"/>
      <c r="T5" s="13" t="s">
        <v>1193</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规划内'!A2</f>
        <v>1</v>
      </c>
      <c r="B7" t="str">
        <f>'附件3 规划内'!B2</f>
        <v>杞县村民住房重建</v>
      </c>
      <c r="C7" t="str">
        <f>'附件3 规划内'!C2</f>
        <v>城乡住房</v>
      </c>
      <c r="D7" t="str">
        <f>'附件3 规划内'!D2</f>
        <v>修缮加固55户、原址重建183户</v>
      </c>
      <c r="E7">
        <f>'附件3 规划内'!E2</f>
        <v>843.64</v>
      </c>
      <c r="F7">
        <f>'附件3 规划内'!F2</f>
        <v>843.64</v>
      </c>
      <c r="G7">
        <f>'附件3 规划内'!G2</f>
        <v>0</v>
      </c>
      <c r="H7">
        <f>'附件3 规划内'!H2</f>
        <v>0</v>
      </c>
      <c r="I7" t="str">
        <f>'附件3 规划内'!I2</f>
        <v>完工</v>
      </c>
      <c r="J7">
        <f>'附件3 规划内'!J2</f>
        <v>843.64</v>
      </c>
      <c r="K7" t="str">
        <f>'附件3 规划内'!K2</f>
        <v/>
      </c>
      <c r="L7">
        <f>'附件3 规划内'!L2</f>
        <v>0</v>
      </c>
      <c r="M7" s="29">
        <f>'附件3 规划内'!M2</f>
        <v>0</v>
      </c>
      <c r="N7" s="29">
        <f>'附件3 规划内'!N2</f>
        <v>0</v>
      </c>
      <c r="O7" t="str">
        <f>'附件3 规划内'!O2</f>
        <v>市住房城乡建设局</v>
      </c>
      <c r="P7" t="str">
        <f>'附件3 规划内'!P2</f>
        <v>杞县</v>
      </c>
      <c r="Q7">
        <f>'附件3 规划内'!Q2</f>
        <v>0</v>
      </c>
      <c r="R7">
        <f>'附件3 规划内'!R2</f>
        <v>0</v>
      </c>
      <c r="T7">
        <f>'附件4 规划外'!A6</f>
        <v>5</v>
      </c>
      <c r="U7" t="str">
        <f>'附件4 规划外'!B6</f>
        <v>宋湾函闸，司岗涵闸，小蒋河大高寨段水利修复建设项目</v>
      </c>
      <c r="V7" t="str">
        <f>'附件4 规划外'!C6</f>
        <v>水利</v>
      </c>
      <c r="W7" t="str">
        <f>'附件4 规划外'!D6</f>
        <v>宋湾函闸，司岗涵闸，小蒋河大高寨段加固堤防250米</v>
      </c>
      <c r="X7">
        <f>'附件4 规划外'!E6</f>
        <v>93</v>
      </c>
      <c r="Y7">
        <f>'附件4 规划外'!F6</f>
        <v>93</v>
      </c>
      <c r="Z7">
        <f>'附件4 规划外'!G6</f>
        <v>0</v>
      </c>
      <c r="AA7">
        <f>'附件4 规划外'!H6</f>
        <v>0</v>
      </c>
      <c r="AB7" t="str">
        <f>'附件4 规划外'!I6</f>
        <v>完工</v>
      </c>
      <c r="AC7">
        <f>'附件4 规划外'!J6</f>
        <v>93</v>
      </c>
      <c r="AD7" t="str">
        <f>'附件4 规划外'!K6</f>
        <v/>
      </c>
      <c r="AE7" t="str">
        <f>'附件4 规划外'!L6</f>
        <v>已完成</v>
      </c>
      <c r="AF7" s="26">
        <f>'附件4 规划外'!M6</f>
        <v>44409</v>
      </c>
      <c r="AG7" s="26">
        <f>'附件4 规划外'!N6</f>
        <v>44896</v>
      </c>
      <c r="AH7" t="str">
        <f>'附件4 规划外'!O6</f>
        <v>市水利局</v>
      </c>
      <c r="AI7" t="str">
        <f>'附件4 规划外'!P6</f>
        <v>杞县</v>
      </c>
      <c r="AJ7">
        <f>'附件4 规划外'!Q6</f>
        <v>0</v>
      </c>
      <c r="AK7">
        <f>'附件4 规划外'!R6</f>
        <v>0</v>
      </c>
    </row>
    <row r="8" spans="1:37">
      <c r="A8">
        <f>'附件3 规划内'!A55</f>
        <v>54</v>
      </c>
      <c r="B8" t="str">
        <f>'附件3 规划内'!B55</f>
        <v>X011万赵线</v>
      </c>
      <c r="C8" t="str">
        <f>'附件3 规划内'!C55</f>
        <v>交通</v>
      </c>
      <c r="D8" t="str">
        <f>'附件3 规划内'!D55</f>
        <v>恢复重建道路4.8公里</v>
      </c>
      <c r="E8">
        <f>'附件3 规划内'!E55</f>
        <v>1350</v>
      </c>
      <c r="F8">
        <f>'附件3 规划内'!F55</f>
        <v>120</v>
      </c>
      <c r="G8">
        <f>'附件3 规划内'!G55</f>
        <v>1230</v>
      </c>
      <c r="H8">
        <f>'附件3 规划内'!H55</f>
        <v>0</v>
      </c>
      <c r="I8" t="str">
        <f>'附件3 规划内'!I55</f>
        <v>在建</v>
      </c>
      <c r="J8">
        <f>'附件3 规划内'!J55</f>
        <v>1250</v>
      </c>
      <c r="K8">
        <f>'附件3 规划内'!K55</f>
        <v>1130</v>
      </c>
      <c r="L8">
        <f>'附件3 规划内'!L55</f>
        <v>0</v>
      </c>
      <c r="M8" s="26">
        <f>'附件3 规划内'!M55</f>
        <v>44501</v>
      </c>
      <c r="N8" s="26">
        <f>'附件3 规划内'!N55</f>
        <v>44926</v>
      </c>
      <c r="O8" t="str">
        <f>'附件3 规划内'!O55</f>
        <v>市交通运输局</v>
      </c>
      <c r="P8" t="str">
        <f>'附件3 规划内'!P55</f>
        <v>杞县</v>
      </c>
      <c r="Q8">
        <f>'附件3 规划内'!Q55</f>
        <v>0</v>
      </c>
      <c r="R8" t="str">
        <f>'附件3 规划内'!R55</f>
        <v>2022年12月底 农村公路</v>
      </c>
      <c r="T8">
        <f>'附件4 规划外'!A58</f>
        <v>68</v>
      </c>
      <c r="U8" t="str">
        <f>'附件4 规划外'!B58</f>
        <v>杞县海河、提排站、公租房小区等基础设施灾后恢复重建项目</v>
      </c>
      <c r="V8" t="str">
        <f>'附件4 规划外'!C58</f>
        <v>市政</v>
      </c>
      <c r="W8" t="str">
        <f>'附件4 规划外'!D58</f>
        <v>1、海河（包括护坡、护栏、污水管网、六座桥）；2、三座提排站（设备维修及更新）；3、三个公租房小区基础设施（房屋屋顶漏水，市政设施修缮）</v>
      </c>
      <c r="X8">
        <f>'附件4 规划外'!E58</f>
        <v>9100</v>
      </c>
      <c r="Y8">
        <f>'附件4 规划外'!F58</f>
        <v>1200</v>
      </c>
      <c r="Z8">
        <f>'附件4 规划外'!G58</f>
        <v>7900</v>
      </c>
      <c r="AA8">
        <f>'附件4 规划外'!H58</f>
        <v>0</v>
      </c>
      <c r="AB8" t="str">
        <f>'附件4 规划外'!I58</f>
        <v>在建</v>
      </c>
      <c r="AC8">
        <f>'附件4 规划外'!J58</f>
        <v>8790</v>
      </c>
      <c r="AD8">
        <f>'附件4 规划外'!K58</f>
        <v>7590</v>
      </c>
      <c r="AE8" t="str">
        <f>'附件4 规划外'!L58</f>
        <v>已完成海河护坡已修复200米，破除路面13600平方米，修复检查井154个；提排站6台水泵安装；公租房屋顶防水已完成1200平方米。</v>
      </c>
      <c r="AF8" s="26">
        <f>'附件4 规划外'!M58</f>
        <v>44378</v>
      </c>
      <c r="AG8" s="26">
        <f>'附件4 规划外'!N58</f>
        <v>44896</v>
      </c>
      <c r="AH8" t="str">
        <f>'附件4 规划外'!O58</f>
        <v>市城管局</v>
      </c>
      <c r="AI8" t="str">
        <f>'附件4 规划外'!P58</f>
        <v>杞县</v>
      </c>
      <c r="AJ8">
        <f>'附件4 规划外'!Q58</f>
        <v>0</v>
      </c>
      <c r="AK8">
        <f>'附件4 规划外'!R58</f>
        <v>0</v>
      </c>
    </row>
    <row r="9" spans="1:37">
      <c r="A9">
        <f>'附件3 规划内'!A56</f>
        <v>55</v>
      </c>
      <c r="B9" t="str">
        <f>'附件3 规划内'!B56</f>
        <v>X008杞竹线</v>
      </c>
      <c r="C9" t="str">
        <f>'附件3 规划内'!C56</f>
        <v>交通</v>
      </c>
      <c r="D9" t="str">
        <f>'附件3 规划内'!D56</f>
        <v>恢复重建道路21.45公里</v>
      </c>
      <c r="E9">
        <f>'附件3 规划内'!E56</f>
        <v>9653</v>
      </c>
      <c r="F9">
        <f>'附件3 规划内'!F56</f>
        <v>0</v>
      </c>
      <c r="G9">
        <f>'附件3 规划内'!G56</f>
        <v>9653</v>
      </c>
      <c r="H9">
        <f>'附件3 规划内'!H56</f>
        <v>0</v>
      </c>
      <c r="I9" t="str">
        <f>'附件3 规划内'!I56</f>
        <v>在建</v>
      </c>
      <c r="J9">
        <f>'附件3 规划内'!J56</f>
        <v>7730</v>
      </c>
      <c r="K9">
        <f>'附件3 规划内'!K56</f>
        <v>7730</v>
      </c>
      <c r="L9">
        <f>'附件3 规划内'!L56</f>
        <v>0</v>
      </c>
      <c r="M9" s="26">
        <f>'附件3 规划内'!M56</f>
        <v>44621</v>
      </c>
      <c r="N9" s="26">
        <f>'附件3 规划内'!N56</f>
        <v>44926</v>
      </c>
      <c r="O9" t="str">
        <f>'附件3 规划内'!O56</f>
        <v>市交通运输局</v>
      </c>
      <c r="P9" t="str">
        <f>'附件3 规划内'!P56</f>
        <v>杞县</v>
      </c>
      <c r="Q9">
        <f>'附件3 规划内'!Q56</f>
        <v>0</v>
      </c>
      <c r="R9" t="str">
        <f>'附件3 规划内'!R56</f>
        <v>2022年12月底 农村公路</v>
      </c>
      <c r="T9">
        <f>'附件4 规划外'!A59</f>
        <v>69</v>
      </c>
      <c r="U9" t="str">
        <f>'附件4 规划外'!B59</f>
        <v>杞县海河排水防涝工程</v>
      </c>
      <c r="V9" t="str">
        <f>'附件4 规划外'!C59</f>
        <v>市政</v>
      </c>
      <c r="W9" t="str">
        <f>'附件4 规划外'!D59</f>
        <v>海河河道清污及河道改造、污水管线、河道两侧照明、电力排管、河道两侧绿化、通信排管及海河两侧建筑物外立面改造。</v>
      </c>
      <c r="X9">
        <f>'附件4 规划外'!E59</f>
        <v>14850</v>
      </c>
      <c r="Y9">
        <f>'附件4 规划外'!F59</f>
        <v>0</v>
      </c>
      <c r="Z9">
        <f>'附件4 规划外'!G59</f>
        <v>8850</v>
      </c>
      <c r="AA9">
        <f>'附件4 规划外'!H59</f>
        <v>6000</v>
      </c>
      <c r="AB9" t="str">
        <f>'附件4 规划外'!I59</f>
        <v>在建</v>
      </c>
      <c r="AC9">
        <f>'附件4 规划外'!J59</f>
        <v>9860</v>
      </c>
      <c r="AD9">
        <f>'附件4 规划外'!K59</f>
        <v>9860</v>
      </c>
      <c r="AE9" t="str">
        <f>'附件4 规划外'!L59</f>
        <v>1、已完成河道清淤；铺设污水管网2200米
2、现已完成河底处理（抛石挤淤、河底硬化处理）约4660米；</v>
      </c>
      <c r="AF9" s="26">
        <f>'附件4 规划外'!M59</f>
        <v>44562</v>
      </c>
      <c r="AG9" s="26">
        <f>'附件4 规划外'!N59</f>
        <v>45139</v>
      </c>
      <c r="AH9" t="str">
        <f>'附件4 规划外'!O59</f>
        <v>市城管局</v>
      </c>
      <c r="AI9" t="str">
        <f>'附件4 规划外'!P59</f>
        <v>杞县</v>
      </c>
      <c r="AJ9">
        <f>'附件4 规划外'!Q59</f>
        <v>0</v>
      </c>
      <c r="AK9">
        <f>'附件4 规划外'!R59</f>
        <v>0</v>
      </c>
    </row>
    <row r="10" spans="1:37">
      <c r="A10">
        <f>'附件3 规划内'!A57</f>
        <v>56</v>
      </c>
      <c r="B10" t="str">
        <f>'附件3 规划内'!B57</f>
        <v>X001裴泥线</v>
      </c>
      <c r="C10" t="str">
        <f>'附件3 规划内'!C57</f>
        <v>交通</v>
      </c>
      <c r="D10" t="str">
        <f>'附件3 规划内'!D57</f>
        <v>恢复重建道路14.6公里</v>
      </c>
      <c r="E10">
        <f>'附件3 规划内'!E57</f>
        <v>4106</v>
      </c>
      <c r="F10">
        <f>'附件3 规划内'!F57</f>
        <v>1657</v>
      </c>
      <c r="G10">
        <f>'附件3 规划内'!G57</f>
        <v>2449</v>
      </c>
      <c r="H10">
        <f>'附件3 规划内'!H57</f>
        <v>0</v>
      </c>
      <c r="I10" t="str">
        <f>'附件3 规划内'!I57</f>
        <v>在建</v>
      </c>
      <c r="J10">
        <f>'附件3 规划内'!J57</f>
        <v>3520</v>
      </c>
      <c r="K10">
        <f>'附件3 规划内'!K57</f>
        <v>1863</v>
      </c>
      <c r="L10">
        <f>'附件3 规划内'!L57</f>
        <v>0</v>
      </c>
      <c r="M10" s="26">
        <f>'附件3 规划内'!M57</f>
        <v>44501</v>
      </c>
      <c r="N10" s="26">
        <f>'附件3 规划内'!N57</f>
        <v>44926</v>
      </c>
      <c r="O10" t="str">
        <f>'附件3 规划内'!O57</f>
        <v>市交通运输局</v>
      </c>
      <c r="P10" t="str">
        <f>'附件3 规划内'!P57</f>
        <v>杞县</v>
      </c>
      <c r="Q10">
        <f>'附件3 规划内'!Q57</f>
        <v>0</v>
      </c>
      <c r="R10" t="str">
        <f>'附件3 规划内'!R57</f>
        <v>2022年12月底 农村公路</v>
      </c>
      <c r="T10">
        <f>'附件4 规划外'!A113</f>
        <v>126</v>
      </c>
      <c r="U10" t="str">
        <f>'附件4 规划外'!B113</f>
        <v>杞县郑民高速口环岛灾后重建项目</v>
      </c>
      <c r="V10" t="str">
        <f>'附件4 规划外'!C113</f>
        <v>林业</v>
      </c>
      <c r="W10" t="str">
        <f>'附件4 规划外'!D113</f>
        <v>郑民高速口环岛绿化工程进行补植和修复</v>
      </c>
      <c r="X10">
        <f>'附件4 规划外'!E113</f>
        <v>160</v>
      </c>
      <c r="Y10">
        <f>'附件4 规划外'!F113</f>
        <v>160</v>
      </c>
      <c r="Z10">
        <f>'附件4 规划外'!G113</f>
        <v>0</v>
      </c>
      <c r="AA10">
        <f>'附件4 规划外'!H113</f>
        <v>0</v>
      </c>
      <c r="AB10" t="str">
        <f>'附件4 规划外'!I113</f>
        <v>完工</v>
      </c>
      <c r="AC10">
        <f>'附件4 规划外'!J113</f>
        <v>160</v>
      </c>
      <c r="AD10" t="str">
        <f>'附件4 规划外'!K113</f>
        <v/>
      </c>
      <c r="AE10" t="str">
        <f>'附件4 规划外'!L113</f>
        <v>已完成</v>
      </c>
      <c r="AF10" s="26">
        <f>'附件4 规划外'!M113</f>
        <v>44531</v>
      </c>
      <c r="AG10" s="26">
        <f>'附件4 规划外'!N113</f>
        <v>44531</v>
      </c>
      <c r="AH10" t="str">
        <f>'附件4 规划外'!O113</f>
        <v>市林业局</v>
      </c>
      <c r="AI10" t="str">
        <f>'附件4 规划外'!P113</f>
        <v>杞县</v>
      </c>
      <c r="AJ10">
        <f>'附件4 规划外'!Q113</f>
        <v>0</v>
      </c>
      <c r="AK10">
        <f>'附件4 规划外'!R113</f>
        <v>0</v>
      </c>
    </row>
    <row r="11" spans="1:37">
      <c r="A11">
        <f>'附件3 规划内'!A58</f>
        <v>57</v>
      </c>
      <c r="B11" t="str">
        <f>'附件3 规划内'!B58</f>
        <v>X013于宗线</v>
      </c>
      <c r="C11" t="str">
        <f>'附件3 规划内'!C58</f>
        <v>交通</v>
      </c>
      <c r="D11" t="str">
        <f>'附件3 规划内'!D58</f>
        <v>恢复重建道路5.6公里</v>
      </c>
      <c r="E11">
        <f>'附件3 规划内'!E58</f>
        <v>1575</v>
      </c>
      <c r="F11">
        <f>'附件3 规划内'!F58</f>
        <v>0</v>
      </c>
      <c r="G11">
        <f>'附件3 规划内'!G58</f>
        <v>1575</v>
      </c>
      <c r="H11">
        <f>'附件3 规划内'!H58</f>
        <v>0</v>
      </c>
      <c r="I11" t="str">
        <f>'附件3 规划内'!I58</f>
        <v>在建</v>
      </c>
      <c r="J11">
        <f>'附件3 规划内'!J58</f>
        <v>1440</v>
      </c>
      <c r="K11">
        <f>'附件3 规划内'!K58</f>
        <v>1440</v>
      </c>
      <c r="L11">
        <f>'附件3 规划内'!L58</f>
        <v>0</v>
      </c>
      <c r="M11" s="26">
        <f>'附件3 规划内'!M58</f>
        <v>44621</v>
      </c>
      <c r="N11" s="26">
        <f>'附件3 规划内'!N58</f>
        <v>44926</v>
      </c>
      <c r="O11" t="str">
        <f>'附件3 规划内'!O58</f>
        <v>市交通运输局</v>
      </c>
      <c r="P11" t="str">
        <f>'附件3 规划内'!P58</f>
        <v>杞县</v>
      </c>
      <c r="Q11">
        <f>'附件3 规划内'!Q58</f>
        <v>0</v>
      </c>
      <c r="R11" t="str">
        <f>'附件3 规划内'!R58</f>
        <v>2022年12月底 农村公路</v>
      </c>
      <c r="T11">
        <f>'附件4 规划外'!A114</f>
        <v>127</v>
      </c>
      <c r="U11" t="str">
        <f>'附件4 规划外'!B114</f>
        <v>杞县造林灾后重建项目</v>
      </c>
      <c r="V11" t="str">
        <f>'附件4 规划外'!C114</f>
        <v>林业</v>
      </c>
      <c r="W11" t="str">
        <f>'附件4 规划外'!D114</f>
        <v>灾后重建造林、补植面积1500亩</v>
      </c>
      <c r="X11">
        <f>'附件4 规划外'!E114</f>
        <v>750</v>
      </c>
      <c r="Y11">
        <f>'附件4 规划外'!F114</f>
        <v>400</v>
      </c>
      <c r="Z11">
        <f>'附件4 规划外'!G114</f>
        <v>350</v>
      </c>
      <c r="AA11">
        <f>'附件4 规划外'!H114</f>
        <v>0</v>
      </c>
      <c r="AB11" t="str">
        <f>'附件4 规划外'!I114</f>
        <v>完工</v>
      </c>
      <c r="AC11">
        <f>'附件4 规划外'!J114</f>
        <v>750</v>
      </c>
      <c r="AD11">
        <f>'附件4 规划外'!K114</f>
        <v>350</v>
      </c>
      <c r="AE11" t="str">
        <f>'附件4 规划外'!L114</f>
        <v>已完成</v>
      </c>
      <c r="AF11" s="26">
        <f>'附件4 规划外'!M114</f>
        <v>44531</v>
      </c>
      <c r="AG11" s="26">
        <f>'附件4 规划外'!N114</f>
        <v>44682</v>
      </c>
      <c r="AH11" t="str">
        <f>'附件4 规划外'!O114</f>
        <v>市林业局</v>
      </c>
      <c r="AI11" t="str">
        <f>'附件4 规划外'!P114</f>
        <v>杞县</v>
      </c>
      <c r="AJ11">
        <f>'附件4 规划外'!Q114</f>
        <v>0</v>
      </c>
      <c r="AK11">
        <f>'附件4 规划外'!R114</f>
        <v>0</v>
      </c>
    </row>
    <row r="12" spans="1:37">
      <c r="A12">
        <f>'附件3 规划内'!A59</f>
        <v>58</v>
      </c>
      <c r="B12" t="str">
        <f>'附件3 规划内'!B59</f>
        <v>X012邢裴线</v>
      </c>
      <c r="C12" t="str">
        <f>'附件3 规划内'!C59</f>
        <v>交通</v>
      </c>
      <c r="D12" t="str">
        <f>'附件3 规划内'!D59</f>
        <v>恢复重建道路4.6公里</v>
      </c>
      <c r="E12">
        <f>'附件3 规划内'!E59</f>
        <v>1294</v>
      </c>
      <c r="F12">
        <f>'附件3 规划内'!F59</f>
        <v>0</v>
      </c>
      <c r="G12">
        <f>'附件3 规划内'!G59</f>
        <v>1294</v>
      </c>
      <c r="H12">
        <f>'附件3 规划内'!H59</f>
        <v>0</v>
      </c>
      <c r="I12" t="str">
        <f>'附件3 规划内'!I59</f>
        <v>完工</v>
      </c>
      <c r="J12">
        <f>'附件3 规划内'!J59</f>
        <v>1294</v>
      </c>
      <c r="K12">
        <f>'附件3 规划内'!K59</f>
        <v>1294</v>
      </c>
      <c r="L12">
        <f>'附件3 规划内'!L59</f>
        <v>0</v>
      </c>
      <c r="M12" s="26">
        <f>'附件3 规划内'!M59</f>
        <v>44621</v>
      </c>
      <c r="N12" s="26">
        <f>'附件3 规划内'!N59</f>
        <v>44926</v>
      </c>
      <c r="O12" t="str">
        <f>'附件3 规划内'!O59</f>
        <v>市交通运输局</v>
      </c>
      <c r="P12" t="str">
        <f>'附件3 规划内'!P59</f>
        <v>杞县</v>
      </c>
      <c r="Q12">
        <f>'附件3 规划内'!Q59</f>
        <v>0</v>
      </c>
      <c r="R12" t="str">
        <f>'附件3 规划内'!R59</f>
        <v>2022年12月底 农村公路</v>
      </c>
      <c r="T12">
        <f>'附件4 规划外'!A199</f>
        <v>212</v>
      </c>
      <c r="U12" t="str">
        <f>'附件4 规划外'!B199</f>
        <v>杞县小蒋河(曹家至林庄段)治理工程</v>
      </c>
      <c r="V12" t="str">
        <f>'附件4 规划外'!C199</f>
        <v>其他</v>
      </c>
      <c r="W12" t="str">
        <f>'附件4 规划外'!D199</f>
        <v>河道清淤9.883公里，拆除重建桥梁16座</v>
      </c>
      <c r="X12">
        <f>'附件4 规划外'!E199</f>
        <v>936</v>
      </c>
      <c r="Y12">
        <f>'附件4 规划外'!F199</f>
        <v>0</v>
      </c>
      <c r="Z12">
        <f>'附件4 规划外'!G199</f>
        <v>749</v>
      </c>
      <c r="AA12">
        <f>'附件4 规划外'!H199</f>
        <v>0</v>
      </c>
      <c r="AB12" t="str">
        <f>'附件4 规划外'!I199</f>
        <v>在建</v>
      </c>
      <c r="AC12">
        <f>'附件4 规划外'!J199</f>
        <v>880</v>
      </c>
      <c r="AD12">
        <f>'附件4 规划外'!K199</f>
        <v>880</v>
      </c>
      <c r="AE12">
        <f>'附件4 规划外'!L199</f>
        <v>0</v>
      </c>
      <c r="AF12">
        <f>'附件4 规划外'!M199</f>
        <v>44682</v>
      </c>
      <c r="AG12">
        <f>'附件4 规划外'!N199</f>
        <v>44896</v>
      </c>
      <c r="AH12" t="str">
        <f>'附件4 规划外'!O199</f>
        <v>市水利局</v>
      </c>
      <c r="AI12" t="str">
        <f>'附件4 规划外'!P199</f>
        <v>杞县</v>
      </c>
      <c r="AJ12">
        <f>'附件4 规划外'!Q199</f>
        <v>0</v>
      </c>
      <c r="AK12">
        <f>'附件4 规划外'!R199</f>
        <v>0</v>
      </c>
    </row>
    <row r="13" spans="1:37">
      <c r="A13">
        <f>'附件3 规划内'!A60</f>
        <v>59</v>
      </c>
      <c r="B13" t="str">
        <f>'附件3 规划内'!B60</f>
        <v>X004高刘线</v>
      </c>
      <c r="C13" t="str">
        <f>'附件3 规划内'!C60</f>
        <v>交通</v>
      </c>
      <c r="D13" t="str">
        <f>'附件3 规划内'!D60</f>
        <v>恢复重建道路4.2公里</v>
      </c>
      <c r="E13">
        <f>'附件3 规划内'!E60</f>
        <v>1181</v>
      </c>
      <c r="F13">
        <f>'附件3 规划内'!F60</f>
        <v>15</v>
      </c>
      <c r="G13">
        <f>'附件3 规划内'!G60</f>
        <v>1166</v>
      </c>
      <c r="H13">
        <f>'附件3 规划内'!H60</f>
        <v>0</v>
      </c>
      <c r="I13" t="str">
        <f>'附件3 规划内'!I60</f>
        <v>在建</v>
      </c>
      <c r="J13">
        <f>'附件3 规划内'!J60</f>
        <v>1125</v>
      </c>
      <c r="K13">
        <f>'附件3 规划内'!K60</f>
        <v>1110</v>
      </c>
      <c r="L13">
        <f>'附件3 规划内'!L60</f>
        <v>0</v>
      </c>
      <c r="M13" s="26">
        <f>'附件3 规划内'!M60</f>
        <v>44621</v>
      </c>
      <c r="N13" s="26">
        <f>'附件3 规划内'!N60</f>
        <v>44926</v>
      </c>
      <c r="O13" t="str">
        <f>'附件3 规划内'!O60</f>
        <v>市交通运输局</v>
      </c>
      <c r="P13" t="str">
        <f>'附件3 规划内'!P60</f>
        <v>杞县</v>
      </c>
      <c r="Q13">
        <f>'附件3 规划内'!Q60</f>
        <v>0</v>
      </c>
      <c r="R13" t="str">
        <f>'附件3 规划内'!R60</f>
        <v>2022年12月底 农村公路</v>
      </c>
      <c r="T13">
        <f>'附件4 规划外'!A204</f>
        <v>217</v>
      </c>
      <c r="U13" t="str">
        <f>'附件4 规划外'!B204</f>
        <v>杞县水资源节约管理与保护</v>
      </c>
      <c r="V13" t="str">
        <f>'附件4 规划外'!C204</f>
        <v>其他</v>
      </c>
      <c r="W13" t="str">
        <f>'附件4 规划外'!D204</f>
        <v>规模以上取水在线计量设施新建或改建</v>
      </c>
      <c r="X13">
        <f>'附件4 规划外'!E204</f>
        <v>28</v>
      </c>
      <c r="Y13">
        <f>'附件4 规划外'!F204</f>
        <v>0</v>
      </c>
      <c r="Z13">
        <f>'附件4 规划外'!G204</f>
        <v>28</v>
      </c>
      <c r="AA13">
        <f>'附件4 规划外'!H204</f>
        <v>0</v>
      </c>
      <c r="AB13" t="str">
        <f>'附件4 规划外'!I204</f>
        <v>完工</v>
      </c>
      <c r="AC13">
        <f>'附件4 规划外'!J204</f>
        <v>28</v>
      </c>
      <c r="AD13">
        <f>'附件4 规划外'!K204</f>
        <v>28</v>
      </c>
      <c r="AE13">
        <f>'附件4 规划外'!L204</f>
        <v>0</v>
      </c>
      <c r="AF13">
        <f>'附件4 规划外'!M204</f>
        <v>44682</v>
      </c>
      <c r="AG13">
        <f>'附件4 规划外'!N204</f>
        <v>44713</v>
      </c>
      <c r="AH13" t="str">
        <f>'附件4 规划外'!O204</f>
        <v>市水利局</v>
      </c>
      <c r="AI13" t="str">
        <f>'附件4 规划外'!P204</f>
        <v>杞县</v>
      </c>
      <c r="AJ13">
        <f>'附件4 规划外'!Q204</f>
        <v>0</v>
      </c>
      <c r="AK13">
        <f>'附件4 规划外'!R204</f>
        <v>0</v>
      </c>
    </row>
    <row r="14" spans="1:37">
      <c r="A14">
        <f>'附件3 规划内'!A61</f>
        <v>60</v>
      </c>
      <c r="B14" t="str">
        <f>'附件3 规划内'!B61</f>
        <v>团城西桥</v>
      </c>
      <c r="C14" t="str">
        <f>'附件3 规划内'!C61</f>
        <v>交通</v>
      </c>
      <c r="D14" t="str">
        <f>'附件3 规划内'!D61</f>
        <v>恢复重建桥梁12延米</v>
      </c>
      <c r="E14">
        <f>'附件3 规划内'!E61</f>
        <v>100</v>
      </c>
      <c r="F14">
        <f>'附件3 规划内'!F61</f>
        <v>20</v>
      </c>
      <c r="G14">
        <f>'附件3 规划内'!G61</f>
        <v>80</v>
      </c>
      <c r="H14">
        <f>'附件3 规划内'!H61</f>
        <v>0</v>
      </c>
      <c r="I14" t="str">
        <f>'附件3 规划内'!I61</f>
        <v>完工</v>
      </c>
      <c r="J14">
        <f>'附件3 规划内'!J61</f>
        <v>100</v>
      </c>
      <c r="K14">
        <f>'附件3 规划内'!K61</f>
        <v>80</v>
      </c>
      <c r="L14">
        <f>'附件3 规划内'!L61</f>
        <v>0</v>
      </c>
      <c r="M14" s="26">
        <f>'附件3 规划内'!M61</f>
        <v>44501</v>
      </c>
      <c r="N14" s="26">
        <f>'附件3 规划内'!N61</f>
        <v>44926</v>
      </c>
      <c r="O14" t="str">
        <f>'附件3 规划内'!O61</f>
        <v>市交通运输局</v>
      </c>
      <c r="P14" t="str">
        <f>'附件3 规划内'!P61</f>
        <v>杞县</v>
      </c>
      <c r="Q14">
        <f>'附件3 规划内'!Q61</f>
        <v>0</v>
      </c>
      <c r="R14" t="str">
        <f>'附件3 规划内'!R61</f>
        <v>2022年12月底 农村公路</v>
      </c>
      <c r="T14">
        <f>'附件4 规划外'!A210</f>
        <v>223</v>
      </c>
      <c r="U14" t="str">
        <f>'附件4 规划外'!B210</f>
        <v>杞县农村饮水工程维修养护</v>
      </c>
      <c r="V14" t="str">
        <f>'附件4 规划外'!C210</f>
        <v>其他</v>
      </c>
      <c r="W14" t="str">
        <f>'附件4 规划外'!D210</f>
        <v>管网改造共计 61959米，更换阀门73 个，滤砂罐（5t）3套，更换 DN100 旋翼式滴水计数水表6 块等</v>
      </c>
      <c r="X14">
        <f>'附件4 规划外'!E210</f>
        <v>351</v>
      </c>
      <c r="Y14">
        <f>'附件4 规划外'!F210</f>
        <v>0</v>
      </c>
      <c r="Z14">
        <f>'附件4 规划外'!G210</f>
        <v>351</v>
      </c>
      <c r="AA14">
        <f>'附件4 规划外'!H210</f>
        <v>0</v>
      </c>
      <c r="AB14" t="str">
        <f>'附件4 规划外'!I210</f>
        <v>完工</v>
      </c>
      <c r="AC14">
        <f>'附件4 规划外'!J210</f>
        <v>351</v>
      </c>
      <c r="AD14">
        <f>'附件4 规划外'!K210</f>
        <v>351</v>
      </c>
      <c r="AE14">
        <f>'附件4 规划外'!L210</f>
        <v>0</v>
      </c>
      <c r="AF14">
        <f>'附件4 规划外'!M210</f>
        <v>44682</v>
      </c>
      <c r="AG14">
        <f>'附件4 规划外'!N210</f>
        <v>44713</v>
      </c>
      <c r="AH14" t="str">
        <f>'附件4 规划外'!O210</f>
        <v>市水利局</v>
      </c>
      <c r="AI14" t="str">
        <f>'附件4 规划外'!P210</f>
        <v>杞县</v>
      </c>
      <c r="AJ14">
        <f>'附件4 规划外'!Q210</f>
        <v>0</v>
      </c>
      <c r="AK14">
        <f>'附件4 规划外'!R210</f>
        <v>0</v>
      </c>
    </row>
    <row r="15" spans="1:18">
      <c r="A15">
        <f>'附件3 规划内'!A62</f>
        <v>61</v>
      </c>
      <c r="B15" t="str">
        <f>'附件3 规划内'!B62</f>
        <v>幸福渠桥</v>
      </c>
      <c r="C15" t="str">
        <f>'附件3 规划内'!C62</f>
        <v>交通</v>
      </c>
      <c r="D15" t="str">
        <f>'附件3 规划内'!D62</f>
        <v>恢复重建桥梁16延米</v>
      </c>
      <c r="E15">
        <f>'附件3 规划内'!E62</f>
        <v>135</v>
      </c>
      <c r="F15">
        <f>'附件3 规划内'!F62</f>
        <v>23.5</v>
      </c>
      <c r="G15">
        <f>'附件3 规划内'!G62</f>
        <v>111.5</v>
      </c>
      <c r="H15">
        <f>'附件3 规划内'!H62</f>
        <v>0</v>
      </c>
      <c r="I15" t="str">
        <f>'附件3 规划内'!I62</f>
        <v>完工</v>
      </c>
      <c r="J15">
        <f>'附件3 规划内'!J62</f>
        <v>135</v>
      </c>
      <c r="K15">
        <f>'附件3 规划内'!K62</f>
        <v>111.5</v>
      </c>
      <c r="L15">
        <f>'附件3 规划内'!L62</f>
        <v>0</v>
      </c>
      <c r="M15" s="26">
        <f>'附件3 规划内'!M62</f>
        <v>44501</v>
      </c>
      <c r="N15" s="26">
        <f>'附件3 规划内'!N62</f>
        <v>44926</v>
      </c>
      <c r="O15" t="str">
        <f>'附件3 规划内'!O62</f>
        <v>市交通运输局</v>
      </c>
      <c r="P15" t="str">
        <f>'附件3 规划内'!P62</f>
        <v>杞县</v>
      </c>
      <c r="Q15">
        <f>'附件3 规划内'!Q62</f>
        <v>0</v>
      </c>
      <c r="R15" t="str">
        <f>'附件3 规划内'!R62</f>
        <v>2022年12月底 农村公路</v>
      </c>
    </row>
    <row r="16" spans="1:18">
      <c r="A16">
        <f>'附件3 规划内'!A63</f>
        <v>62</v>
      </c>
      <c r="B16" t="str">
        <f>'附件3 规划内'!B63</f>
        <v>东风干渠桥</v>
      </c>
      <c r="C16" t="str">
        <f>'附件3 规划内'!C63</f>
        <v>交通</v>
      </c>
      <c r="D16" t="str">
        <f>'附件3 规划内'!D63</f>
        <v>恢复重建桥梁8延米</v>
      </c>
      <c r="E16">
        <f>'附件3 规划内'!E63</f>
        <v>67</v>
      </c>
      <c r="F16">
        <f>'附件3 规划内'!F63</f>
        <v>16.7</v>
      </c>
      <c r="G16">
        <f>'附件3 规划内'!G63</f>
        <v>50.3</v>
      </c>
      <c r="H16">
        <f>'附件3 规划内'!H63</f>
        <v>0</v>
      </c>
      <c r="I16" t="str">
        <f>'附件3 规划内'!I63</f>
        <v>完工</v>
      </c>
      <c r="J16">
        <f>'附件3 规划内'!J63</f>
        <v>67</v>
      </c>
      <c r="K16">
        <f>'附件3 规划内'!K63</f>
        <v>50.3</v>
      </c>
      <c r="L16">
        <f>'附件3 规划内'!L63</f>
        <v>0</v>
      </c>
      <c r="M16" s="26">
        <f>'附件3 规划内'!M63</f>
        <v>44501</v>
      </c>
      <c r="N16" s="26">
        <f>'附件3 规划内'!N63</f>
        <v>44926</v>
      </c>
      <c r="O16" t="str">
        <f>'附件3 规划内'!O63</f>
        <v>市交通运输局</v>
      </c>
      <c r="P16" t="str">
        <f>'附件3 规划内'!P63</f>
        <v>杞县</v>
      </c>
      <c r="Q16">
        <f>'附件3 规划内'!Q63</f>
        <v>0</v>
      </c>
      <c r="R16" t="str">
        <f>'附件3 规划内'!R63</f>
        <v>2022年12月底 农村公路</v>
      </c>
    </row>
    <row r="17" spans="1:18">
      <c r="A17">
        <f>'附件3 规划内'!A64</f>
        <v>63</v>
      </c>
      <c r="B17" t="str">
        <f>'附件3 规划内'!B64</f>
        <v>西铁岗东桥</v>
      </c>
      <c r="C17" t="str">
        <f>'附件3 规划内'!C64</f>
        <v>交通</v>
      </c>
      <c r="D17" t="str">
        <f>'附件3 规划内'!D64</f>
        <v>恢复重建桥梁39延米</v>
      </c>
      <c r="E17">
        <f>'附件3 规划内'!E64</f>
        <v>274</v>
      </c>
      <c r="F17">
        <f>'附件3 规划内'!F64</f>
        <v>35.4</v>
      </c>
      <c r="G17">
        <f>'附件3 规划内'!G64</f>
        <v>238.6</v>
      </c>
      <c r="H17">
        <f>'附件3 规划内'!H64</f>
        <v>0</v>
      </c>
      <c r="I17" t="str">
        <f>'附件3 规划内'!I64</f>
        <v>完工</v>
      </c>
      <c r="J17">
        <f>'附件3 规划内'!J64</f>
        <v>274</v>
      </c>
      <c r="K17">
        <f>'附件3 规划内'!K64</f>
        <v>238.6</v>
      </c>
      <c r="L17">
        <f>'附件3 规划内'!L64</f>
        <v>0</v>
      </c>
      <c r="M17" s="26">
        <f>'附件3 规划内'!M64</f>
        <v>44501</v>
      </c>
      <c r="N17" s="26">
        <f>'附件3 规划内'!N64</f>
        <v>44926</v>
      </c>
      <c r="O17" t="str">
        <f>'附件3 规划内'!O64</f>
        <v>市交通运输局</v>
      </c>
      <c r="P17" t="str">
        <f>'附件3 规划内'!P64</f>
        <v>杞县</v>
      </c>
      <c r="Q17">
        <f>'附件3 规划内'!Q64</f>
        <v>0</v>
      </c>
      <c r="R17" t="str">
        <f>'附件3 规划内'!R64</f>
        <v>2022年12月底 农村公路</v>
      </c>
    </row>
    <row r="18" spans="1:18">
      <c r="A18">
        <f>'附件3 规划内'!A65</f>
        <v>64</v>
      </c>
      <c r="B18" t="str">
        <f>'附件3 规划内'!B65</f>
        <v>田程寨西桥</v>
      </c>
      <c r="C18" t="str">
        <f>'附件3 规划内'!C65</f>
        <v>交通</v>
      </c>
      <c r="D18" t="str">
        <f>'附件3 规划内'!D65</f>
        <v>恢复重建桥梁13延米</v>
      </c>
      <c r="E18">
        <f>'附件3 规划内'!E65</f>
        <v>91</v>
      </c>
      <c r="F18">
        <f>'附件3 规划内'!F65</f>
        <v>18.1</v>
      </c>
      <c r="G18">
        <f>'附件3 规划内'!G65</f>
        <v>72.9</v>
      </c>
      <c r="H18">
        <f>'附件3 规划内'!H65</f>
        <v>0</v>
      </c>
      <c r="I18" t="str">
        <f>'附件3 规划内'!I65</f>
        <v>完工</v>
      </c>
      <c r="J18">
        <f>'附件3 规划内'!J65</f>
        <v>91</v>
      </c>
      <c r="K18">
        <f>'附件3 规划内'!K65</f>
        <v>72.9</v>
      </c>
      <c r="L18">
        <f>'附件3 规划内'!L65</f>
        <v>0</v>
      </c>
      <c r="M18" s="26">
        <f>'附件3 规划内'!M65</f>
        <v>44501</v>
      </c>
      <c r="N18" s="26">
        <f>'附件3 规划内'!N65</f>
        <v>44926</v>
      </c>
      <c r="O18" t="str">
        <f>'附件3 规划内'!O65</f>
        <v>市交通运输局</v>
      </c>
      <c r="P18" t="str">
        <f>'附件3 规划内'!P65</f>
        <v>杞县</v>
      </c>
      <c r="Q18">
        <f>'附件3 规划内'!Q65</f>
        <v>0</v>
      </c>
      <c r="R18" t="str">
        <f>'附件3 规划内'!R65</f>
        <v>2022年12月底 农村公路</v>
      </c>
    </row>
    <row r="19" spans="1:18">
      <c r="A19">
        <f>'附件3 规划内'!A66</f>
        <v>65</v>
      </c>
      <c r="B19" t="str">
        <f>'附件3 规划内'!B66</f>
        <v>小魏店北桥</v>
      </c>
      <c r="C19" t="str">
        <f>'附件3 规划内'!C66</f>
        <v>交通</v>
      </c>
      <c r="D19" t="str">
        <f>'附件3 规划内'!D66</f>
        <v>恢复重建桥梁15延米</v>
      </c>
      <c r="E19">
        <f>'附件3 规划内'!E66</f>
        <v>105</v>
      </c>
      <c r="F19">
        <f>'附件3 规划内'!F66</f>
        <v>15.5</v>
      </c>
      <c r="G19">
        <f>'附件3 规划内'!G66</f>
        <v>89.5</v>
      </c>
      <c r="H19">
        <f>'附件3 规划内'!H66</f>
        <v>0</v>
      </c>
      <c r="I19" t="str">
        <f>'附件3 规划内'!I66</f>
        <v>完工</v>
      </c>
      <c r="J19">
        <f>'附件3 规划内'!J66</f>
        <v>105</v>
      </c>
      <c r="K19">
        <f>'附件3 规划内'!K66</f>
        <v>89.5</v>
      </c>
      <c r="L19">
        <f>'附件3 规划内'!L66</f>
        <v>0</v>
      </c>
      <c r="M19" s="26">
        <f>'附件3 规划内'!M66</f>
        <v>44501</v>
      </c>
      <c r="N19" s="26">
        <f>'附件3 规划内'!N66</f>
        <v>44926</v>
      </c>
      <c r="O19" t="str">
        <f>'附件3 规划内'!O66</f>
        <v>市交通运输局</v>
      </c>
      <c r="P19" t="str">
        <f>'附件3 规划内'!P66</f>
        <v>杞县</v>
      </c>
      <c r="Q19">
        <f>'附件3 规划内'!Q66</f>
        <v>0</v>
      </c>
      <c r="R19" t="str">
        <f>'附件3 规划内'!R66</f>
        <v>2022年12月底 农村公路</v>
      </c>
    </row>
    <row r="20" spans="1:18">
      <c r="A20">
        <f>'附件3 规划内'!A67</f>
        <v>66</v>
      </c>
      <c r="B20" t="str">
        <f>'附件3 规划内'!B67</f>
        <v>李指挥屯南桥</v>
      </c>
      <c r="C20" t="str">
        <f>'附件3 规划内'!C67</f>
        <v>交通</v>
      </c>
      <c r="D20" t="str">
        <f>'附件3 规划内'!D67</f>
        <v>恢复重建桥梁22延米</v>
      </c>
      <c r="E20">
        <f>'附件3 规划内'!E67</f>
        <v>186</v>
      </c>
      <c r="F20">
        <f>'附件3 规划内'!F67</f>
        <v>20.6</v>
      </c>
      <c r="G20">
        <f>'附件3 规划内'!G67</f>
        <v>165.4</v>
      </c>
      <c r="H20">
        <f>'附件3 规划内'!H67</f>
        <v>0</v>
      </c>
      <c r="I20" t="str">
        <f>'附件3 规划内'!I67</f>
        <v>完工</v>
      </c>
      <c r="J20">
        <f>'附件3 规划内'!J67</f>
        <v>186</v>
      </c>
      <c r="K20">
        <f>'附件3 规划内'!K67</f>
        <v>165.4</v>
      </c>
      <c r="L20">
        <f>'附件3 规划内'!L67</f>
        <v>0</v>
      </c>
      <c r="M20" s="26">
        <f>'附件3 规划内'!M67</f>
        <v>44501</v>
      </c>
      <c r="N20" s="26">
        <f>'附件3 规划内'!N67</f>
        <v>44926</v>
      </c>
      <c r="O20" t="str">
        <f>'附件3 规划内'!O67</f>
        <v>市交通运输局</v>
      </c>
      <c r="P20" t="str">
        <f>'附件3 规划内'!P67</f>
        <v>杞县</v>
      </c>
      <c r="Q20">
        <f>'附件3 规划内'!Q67</f>
        <v>0</v>
      </c>
      <c r="R20" t="str">
        <f>'附件3 规划内'!R67</f>
        <v>2022年12月底 农村公路</v>
      </c>
    </row>
    <row r="21" spans="1:18">
      <c r="A21">
        <f>'附件3 规划内'!A68</f>
        <v>67</v>
      </c>
      <c r="B21" t="str">
        <f>'附件3 规划内'!B68</f>
        <v>淤泥河桥</v>
      </c>
      <c r="C21" t="str">
        <f>'附件3 规划内'!C68</f>
        <v>交通</v>
      </c>
      <c r="D21" t="str">
        <f>'附件3 规划内'!D68</f>
        <v>恢复重建桥梁45延米</v>
      </c>
      <c r="E21">
        <f>'附件3 规划内'!E68</f>
        <v>380</v>
      </c>
      <c r="F21">
        <f>'附件3 规划内'!F68</f>
        <v>0</v>
      </c>
      <c r="G21">
        <f>'附件3 规划内'!G68</f>
        <v>380</v>
      </c>
      <c r="H21">
        <f>'附件3 规划内'!H68</f>
        <v>0</v>
      </c>
      <c r="I21" t="str">
        <f>'附件3 规划内'!I68</f>
        <v>在建</v>
      </c>
      <c r="J21">
        <f>'附件3 规划内'!J68</f>
        <v>186</v>
      </c>
      <c r="K21">
        <f>'附件3 规划内'!K68</f>
        <v>186</v>
      </c>
      <c r="L21">
        <f>'附件3 规划内'!L68</f>
        <v>0</v>
      </c>
      <c r="M21" s="26">
        <f>'附件3 规划内'!M68</f>
        <v>44633</v>
      </c>
      <c r="N21" s="26">
        <f>'附件3 规划内'!N68</f>
        <v>44926</v>
      </c>
      <c r="O21" t="str">
        <f>'附件3 规划内'!O68</f>
        <v>市交通运输局</v>
      </c>
      <c r="P21" t="str">
        <f>'附件3 规划内'!P68</f>
        <v>杞县</v>
      </c>
      <c r="Q21">
        <f>'附件3 规划内'!Q68</f>
        <v>0</v>
      </c>
      <c r="R21" t="str">
        <f>'附件3 规划内'!R68</f>
        <v>2022年12月底 农村公路</v>
      </c>
    </row>
    <row r="22" spans="1:18">
      <c r="A22">
        <f>'附件3 规划内'!A69</f>
        <v>68</v>
      </c>
      <c r="B22" t="str">
        <f>'附件3 规划内'!B69</f>
        <v>北聂东桥</v>
      </c>
      <c r="C22" t="str">
        <f>'附件3 规划内'!C69</f>
        <v>交通</v>
      </c>
      <c r="D22" t="str">
        <f>'附件3 规划内'!D69</f>
        <v>恢复重建桥梁29延米</v>
      </c>
      <c r="E22">
        <f>'附件3 规划内'!E69</f>
        <v>204</v>
      </c>
      <c r="F22">
        <f>'附件3 规划内'!F69</f>
        <v>0</v>
      </c>
      <c r="G22">
        <f>'附件3 规划内'!G69</f>
        <v>204</v>
      </c>
      <c r="H22">
        <f>'附件3 规划内'!H69</f>
        <v>0</v>
      </c>
      <c r="I22" t="str">
        <f>'附件3 规划内'!I69</f>
        <v>完工</v>
      </c>
      <c r="J22">
        <f>'附件3 规划内'!J69</f>
        <v>204</v>
      </c>
      <c r="K22">
        <f>'附件3 规划内'!K69</f>
        <v>204</v>
      </c>
      <c r="L22">
        <f>'附件3 规划内'!L69</f>
        <v>0</v>
      </c>
      <c r="M22" s="26">
        <f>'附件3 规划内'!M69</f>
        <v>44633</v>
      </c>
      <c r="N22" s="26">
        <f>'附件3 规划内'!N69</f>
        <v>44926</v>
      </c>
      <c r="O22" t="str">
        <f>'附件3 规划内'!O69</f>
        <v>市交通运输局</v>
      </c>
      <c r="P22" t="str">
        <f>'附件3 规划内'!P69</f>
        <v>杞县</v>
      </c>
      <c r="Q22">
        <f>'附件3 规划内'!Q69</f>
        <v>0</v>
      </c>
      <c r="R22" t="str">
        <f>'附件3 规划内'!R69</f>
        <v>2022年12月底 农村公路</v>
      </c>
    </row>
    <row r="23" spans="1:18">
      <c r="A23">
        <f>'附件3 规划内'!A70</f>
        <v>69</v>
      </c>
      <c r="B23" t="str">
        <f>'附件3 规划内'!B70</f>
        <v>马大夫西桥</v>
      </c>
      <c r="C23" t="str">
        <f>'附件3 规划内'!C70</f>
        <v>交通</v>
      </c>
      <c r="D23" t="str">
        <f>'附件3 规划内'!D70</f>
        <v>恢复重建桥梁29延米</v>
      </c>
      <c r="E23">
        <f>'附件3 规划内'!E70</f>
        <v>204</v>
      </c>
      <c r="F23">
        <f>'附件3 规划内'!F70</f>
        <v>0</v>
      </c>
      <c r="G23">
        <f>'附件3 规划内'!G70</f>
        <v>204</v>
      </c>
      <c r="H23">
        <f>'附件3 规划内'!H70</f>
        <v>0</v>
      </c>
      <c r="I23" t="str">
        <f>'附件3 规划内'!I70</f>
        <v>完工</v>
      </c>
      <c r="J23">
        <f>'附件3 规划内'!J70</f>
        <v>204</v>
      </c>
      <c r="K23">
        <f>'附件3 规划内'!K70</f>
        <v>204</v>
      </c>
      <c r="L23">
        <f>'附件3 规划内'!L70</f>
        <v>0</v>
      </c>
      <c r="M23" s="26">
        <f>'附件3 规划内'!M70</f>
        <v>44633</v>
      </c>
      <c r="N23" s="26">
        <f>'附件3 规划内'!N70</f>
        <v>44926</v>
      </c>
      <c r="O23" t="str">
        <f>'附件3 规划内'!O70</f>
        <v>市交通运输局</v>
      </c>
      <c r="P23" t="str">
        <f>'附件3 规划内'!P70</f>
        <v>杞县</v>
      </c>
      <c r="Q23">
        <f>'附件3 规划内'!Q70</f>
        <v>0</v>
      </c>
      <c r="R23" t="str">
        <f>'附件3 规划内'!R70</f>
        <v>2022年12月底 农村公路</v>
      </c>
    </row>
    <row r="24" spans="1:18">
      <c r="A24">
        <f>'附件3 规划内'!A195</f>
        <v>194</v>
      </c>
      <c r="B24" t="str">
        <f>'附件3 规划内'!B195</f>
        <v>杞县圉镇镇江庄村小型农田水利工程项目</v>
      </c>
      <c r="C24" t="str">
        <f>'附件3 规划内'!C195</f>
        <v>乡村振兴</v>
      </c>
      <c r="D24">
        <f>'附件3 规划内'!D195</f>
        <v>0</v>
      </c>
      <c r="E24">
        <f>'附件3 规划内'!E195</f>
        <v>8</v>
      </c>
      <c r="F24">
        <f>'附件3 规划内'!F195</f>
        <v>8</v>
      </c>
      <c r="G24">
        <f>'附件3 规划内'!G195</f>
        <v>0</v>
      </c>
      <c r="H24">
        <f>'附件3 规划内'!H195</f>
        <v>0</v>
      </c>
      <c r="I24" t="str">
        <f>'附件3 规划内'!I195</f>
        <v>完工</v>
      </c>
      <c r="J24">
        <f>'附件3 规划内'!J195</f>
        <v>8</v>
      </c>
      <c r="K24" t="str">
        <f>'附件3 规划内'!K195</f>
        <v/>
      </c>
      <c r="L24">
        <f>'附件3 规划内'!L195</f>
        <v>0</v>
      </c>
      <c r="M24" s="29">
        <f>'附件3 规划内'!M195</f>
        <v>0</v>
      </c>
      <c r="N24" s="29">
        <f>'附件3 规划内'!N195</f>
        <v>0</v>
      </c>
      <c r="O24" t="str">
        <f>'附件3 规划内'!O195</f>
        <v>市乡村振兴局</v>
      </c>
      <c r="P24" t="str">
        <f>'附件3 规划内'!P195</f>
        <v>杞县</v>
      </c>
      <c r="Q24">
        <f>'附件3 规划内'!Q195</f>
        <v>0</v>
      </c>
      <c r="R24">
        <f>'附件3 规划内'!R195</f>
        <v>0</v>
      </c>
    </row>
    <row r="25" spans="1:18">
      <c r="A25">
        <f>'附件3 规划内'!A235</f>
        <v>216</v>
      </c>
      <c r="B25" t="str">
        <f>'附件3 规划内'!B235</f>
        <v>杞县水毁农田新建项目</v>
      </c>
      <c r="C25" t="str">
        <f>'附件3 规划内'!C235</f>
        <v>农业</v>
      </c>
      <c r="D25" t="str">
        <f>'附件3 规划内'!D235</f>
        <v>185320亩</v>
      </c>
      <c r="E25">
        <f>'附件3 规划内'!E235</f>
        <v>29648</v>
      </c>
      <c r="F25">
        <f>'附件3 规划内'!F235</f>
        <v>0</v>
      </c>
      <c r="G25">
        <f>'附件3 规划内'!G235</f>
        <v>29648</v>
      </c>
      <c r="H25">
        <f>'附件3 规划内'!H235</f>
        <v>0</v>
      </c>
      <c r="I25" t="str">
        <f>'附件3 规划内'!I235</f>
        <v>在建</v>
      </c>
      <c r="J25">
        <f>'附件3 规划内'!J235</f>
        <v>24150</v>
      </c>
      <c r="K25">
        <f>'附件3 规划内'!K235</f>
        <v>24150</v>
      </c>
      <c r="L25">
        <f>'附件3 规划内'!L235</f>
        <v>0</v>
      </c>
      <c r="M25" s="26">
        <f>'附件3 规划内'!M235</f>
        <v>44713</v>
      </c>
      <c r="N25" s="26" t="str">
        <f>'附件3 规划内'!N235</f>
        <v>2023年12月</v>
      </c>
      <c r="O25" t="str">
        <f>'附件3 规划内'!O235</f>
        <v>市农业农村局</v>
      </c>
      <c r="P25" t="str">
        <f>'附件3 规划内'!P235</f>
        <v>杞县</v>
      </c>
      <c r="Q25">
        <f>'附件3 规划内'!Q235</f>
        <v>0</v>
      </c>
      <c r="R25" t="str">
        <f>'附件3 规划内'!R235</f>
        <v>2022年12月底</v>
      </c>
    </row>
    <row r="26" spans="1:18">
      <c r="A26">
        <f>'附件3 规划内'!A236</f>
        <v>217</v>
      </c>
      <c r="B26" t="str">
        <f>'附件3 规划内'!B236</f>
        <v>杞县水毁农田应急修复项目</v>
      </c>
      <c r="C26" t="str">
        <f>'附件3 规划内'!C236</f>
        <v>农业</v>
      </c>
      <c r="D26" t="str">
        <f>'附件3 规划内'!D236</f>
        <v>20000亩</v>
      </c>
      <c r="E26">
        <f>'附件3 规划内'!E236</f>
        <v>488</v>
      </c>
      <c r="F26">
        <f>'附件3 规划内'!F236</f>
        <v>488</v>
      </c>
      <c r="G26">
        <f>'附件3 规划内'!G236</f>
        <v>0</v>
      </c>
      <c r="H26">
        <f>'附件3 规划内'!H236</f>
        <v>0</v>
      </c>
      <c r="I26" t="str">
        <f>'附件3 规划内'!I236</f>
        <v>完工</v>
      </c>
      <c r="J26">
        <f>'附件3 规划内'!J236</f>
        <v>488</v>
      </c>
      <c r="K26" t="str">
        <f>'附件3 规划内'!K236</f>
        <v/>
      </c>
      <c r="L26">
        <f>'附件3 规划内'!L236</f>
        <v>0</v>
      </c>
      <c r="M26" s="26">
        <f>'附件3 规划内'!M236</f>
        <v>44440</v>
      </c>
      <c r="N26" s="26" t="str">
        <f>'附件3 规划内'!N236</f>
        <v>2021年12月</v>
      </c>
      <c r="O26" t="str">
        <f>'附件3 规划内'!O236</f>
        <v>市农业农村局</v>
      </c>
      <c r="P26" t="str">
        <f>'附件3 规划内'!P236</f>
        <v>杞县</v>
      </c>
      <c r="Q26">
        <f>'附件3 规划内'!Q236</f>
        <v>0</v>
      </c>
      <c r="R26" t="str">
        <f>'附件3 规划内'!R236</f>
        <v>Ⅲ类，2021年已完成</v>
      </c>
    </row>
  </sheetData>
  <sheetProtection formatCells="0" formatColumns="0" formatRows="0" sort="0" autoFilter="0"/>
  <autoFilter ref="A6:AK26">
    <extLst/>
  </autoFilter>
  <mergeCells count="5">
    <mergeCell ref="A1:G1"/>
    <mergeCell ref="H1:N1"/>
    <mergeCell ref="O1:U1"/>
    <mergeCell ref="A5:R5"/>
    <mergeCell ref="T5:AK5"/>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44"/>
  <sheetViews>
    <sheetView zoomScale="90" zoomScaleNormal="90" topLeftCell="O1" workbookViewId="0">
      <pane ySplit="6" topLeftCell="A25" activePane="bottomLeft" state="frozen"/>
      <selection/>
      <selection pane="bottomLeft" activeCell="AA44" sqref="AA44"/>
    </sheetView>
  </sheetViews>
  <sheetFormatPr defaultColWidth="9" defaultRowHeight="13.5"/>
  <cols>
    <col min="7" max="7" width="9.09166666666667" customWidth="1"/>
    <col min="13" max="14" width="12.0916666666667" customWidth="1"/>
    <col min="32" max="33" width="12.0916666666667" customWidth="1"/>
  </cols>
  <sheetData>
    <row r="1" ht="14.15" customHeight="1" spans="1:21">
      <c r="A1" s="2" t="s">
        <v>1194</v>
      </c>
      <c r="B1" s="3"/>
      <c r="C1" s="3"/>
      <c r="D1" s="3"/>
      <c r="E1" s="3"/>
      <c r="F1" s="3"/>
      <c r="G1" s="4"/>
      <c r="H1" s="5" t="s">
        <v>1195</v>
      </c>
      <c r="I1" s="5"/>
      <c r="J1" s="5"/>
      <c r="K1" s="5"/>
      <c r="L1" s="5"/>
      <c r="M1" s="5"/>
      <c r="N1" s="5"/>
      <c r="O1" s="16" t="s">
        <v>1195</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71</v>
      </c>
      <c r="C3" s="10">
        <f t="shared" ref="C3:F4" si="0">J3+Q3</f>
        <v>125833.7701</v>
      </c>
      <c r="D3" s="10">
        <f t="shared" si="0"/>
        <v>71</v>
      </c>
      <c r="E3" s="10">
        <f t="shared" si="0"/>
        <v>60</v>
      </c>
      <c r="F3" s="10">
        <f t="shared" si="0"/>
        <v>75250.866</v>
      </c>
      <c r="G3" s="11">
        <f>IF(C3=0,"-",ROUND(F3/C3,3))</f>
        <v>0.598</v>
      </c>
      <c r="H3" s="8" t="s">
        <v>1146</v>
      </c>
      <c r="I3" s="17">
        <f>COUNT(E7:E122)</f>
        <v>38</v>
      </c>
      <c r="J3" s="21">
        <f>SUM(E7:E122)</f>
        <v>12891.046</v>
      </c>
      <c r="K3" s="21">
        <f>COUNTIF(I7:I122,"在建")+COUNTIF(I7:I122,"完工")</f>
        <v>38</v>
      </c>
      <c r="L3" s="21">
        <f>COUNTIF(I7:I122,"完工")</f>
        <v>37</v>
      </c>
      <c r="M3" s="17">
        <f>SUM(J7:J122)</f>
        <v>11009.046</v>
      </c>
      <c r="N3" s="22">
        <f>IF(J3=0,"-",ROUND(M3/J3,3))</f>
        <v>0.854</v>
      </c>
      <c r="O3" s="19" t="s">
        <v>1146</v>
      </c>
      <c r="P3" s="20">
        <f>COUNT(X7:X43)</f>
        <v>33</v>
      </c>
      <c r="Q3" s="24">
        <f>SUM(X7:X43)</f>
        <v>112942.7241</v>
      </c>
      <c r="R3" s="24">
        <f>COUNTIF(AB7:AB43,"在建")+COUNTIF(AB7:AB43,"完工")</f>
        <v>33</v>
      </c>
      <c r="S3" s="24">
        <f>COUNTIF(AB7:AB43,"完工")</f>
        <v>23</v>
      </c>
      <c r="T3" s="20">
        <f>SUM(AC7:AC43)</f>
        <v>64241.82</v>
      </c>
      <c r="U3" s="25">
        <f>IF(Q3=0,"-",ROUND(T3/Q3,3))</f>
        <v>0.569</v>
      </c>
    </row>
    <row r="4" ht="27" spans="1:21">
      <c r="A4" s="9" t="s">
        <v>1147</v>
      </c>
      <c r="B4" s="10">
        <f>I4+P4</f>
        <v>21</v>
      </c>
      <c r="C4" s="10">
        <f t="shared" si="0"/>
        <v>72049.8201</v>
      </c>
      <c r="D4" s="10">
        <f t="shared" si="0"/>
        <v>21</v>
      </c>
      <c r="E4" s="10">
        <f t="shared" si="0"/>
        <v>10</v>
      </c>
      <c r="F4" s="10">
        <f t="shared" si="0"/>
        <v>62913.646</v>
      </c>
      <c r="G4" s="12">
        <f>IF(C4=0,"-",ROUND(F4/C4,3))</f>
        <v>0.873</v>
      </c>
      <c r="H4" s="8" t="s">
        <v>1147</v>
      </c>
      <c r="I4" s="17">
        <f>COUNTIF(G7:G122,"&gt;0")</f>
        <v>3</v>
      </c>
      <c r="J4" s="21">
        <f>SUM(G7:G122)</f>
        <v>11616.046</v>
      </c>
      <c r="K4" s="21">
        <f>COUNTIFS(G7:G122,"&gt;0",I7:I122,"完工")+COUNTIFS(G7:G122,"&gt;0",I7:I122,"在建")</f>
        <v>3</v>
      </c>
      <c r="L4" s="21">
        <f>COUNTIFS(G7:G122,"&gt;0",I7:I122,"完工")</f>
        <v>2</v>
      </c>
      <c r="M4" s="17">
        <f>SUM(K7:K122)</f>
        <v>10061.886</v>
      </c>
      <c r="N4" s="22">
        <f>IF(J4=0,"-",ROUND(M4/J4,3))</f>
        <v>0.866</v>
      </c>
      <c r="O4" s="19" t="s">
        <v>1147</v>
      </c>
      <c r="P4" s="20">
        <f>COUNTIF(Z7:Z43,"&gt;0")</f>
        <v>18</v>
      </c>
      <c r="Q4" s="24">
        <f>SUM(Z7:Z43)</f>
        <v>60433.7741</v>
      </c>
      <c r="R4" s="24">
        <f>COUNTIFS(Z7:Z43,"&gt;0",AB7:AB43,"完工")+COUNTIFS(Z7:Z43,"&gt;0",AB7:AB43,"在建")</f>
        <v>18</v>
      </c>
      <c r="S4" s="24">
        <f>COUNTIFS(Z7:Z43,"&gt;0",AB7:AB43,"完工")</f>
        <v>8</v>
      </c>
      <c r="T4" s="20">
        <f>SUM(AD7:AD43)</f>
        <v>52851.76</v>
      </c>
      <c r="U4" s="25">
        <f>IF(Q4=0,"-",ROUND(T4/Q4,3))</f>
        <v>0.875</v>
      </c>
    </row>
    <row r="5" s="1" customFormat="1" spans="1:37">
      <c r="A5" s="13" t="s">
        <v>1196</v>
      </c>
      <c r="B5" s="14"/>
      <c r="C5" s="14"/>
      <c r="D5" s="14"/>
      <c r="E5" s="14"/>
      <c r="F5" s="14"/>
      <c r="G5" s="14"/>
      <c r="H5" s="14"/>
      <c r="I5" s="14"/>
      <c r="J5" s="14"/>
      <c r="K5" s="14"/>
      <c r="L5" s="14"/>
      <c r="M5" s="14"/>
      <c r="N5" s="14"/>
      <c r="O5" s="14"/>
      <c r="P5" s="14"/>
      <c r="Q5" s="14"/>
      <c r="R5" s="36"/>
      <c r="T5" s="13" t="s">
        <v>1197</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规划内'!A3</f>
        <v>2</v>
      </c>
      <c r="B7" t="str">
        <f>'附件3 规划内'!B3</f>
        <v>通许县村民住房重建</v>
      </c>
      <c r="C7" t="str">
        <f>'附件3 规划内'!C3</f>
        <v>城乡住房</v>
      </c>
      <c r="D7" t="str">
        <f>'附件3 规划内'!D3</f>
        <v>修缮加固255户、原址重建77户</v>
      </c>
      <c r="E7">
        <f>'附件3 规划内'!E3</f>
        <v>379.4</v>
      </c>
      <c r="F7">
        <f>'附件3 规划内'!F3</f>
        <v>379.4</v>
      </c>
      <c r="G7">
        <f>'附件3 规划内'!G3</f>
        <v>0</v>
      </c>
      <c r="H7">
        <f>'附件3 规划内'!H3</f>
        <v>0</v>
      </c>
      <c r="I7" t="str">
        <f>'附件3 规划内'!I3</f>
        <v>完工</v>
      </c>
      <c r="J7">
        <f>'附件3 规划内'!J3</f>
        <v>379.4</v>
      </c>
      <c r="K7" t="str">
        <f>'附件3 规划内'!K3</f>
        <v/>
      </c>
      <c r="L7">
        <f>'附件3 规划内'!L3</f>
        <v>0</v>
      </c>
      <c r="M7" s="29">
        <f>'附件3 规划内'!M3</f>
        <v>0</v>
      </c>
      <c r="N7" s="29">
        <f>'附件3 规划内'!N3</f>
        <v>0</v>
      </c>
      <c r="O7" t="str">
        <f>'附件3 规划内'!O3</f>
        <v>市住房城乡建设局</v>
      </c>
      <c r="P7" t="str">
        <f>'附件3 规划内'!P3</f>
        <v>通许县</v>
      </c>
      <c r="Q7">
        <f>'附件3 规划内'!Q3</f>
        <v>0</v>
      </c>
      <c r="R7">
        <f>'附件3 规划内'!R3</f>
        <v>0</v>
      </c>
      <c r="T7">
        <f>'附件4 规划外'!A10</f>
        <v>9</v>
      </c>
      <c r="U7" t="str">
        <f>'附件4 规划外'!B10</f>
        <v>2022年度通许县水毁修复工程</v>
      </c>
      <c r="V7" t="str">
        <f>'附件4 规划外'!C10</f>
        <v>水利</v>
      </c>
      <c r="W7" t="str">
        <f>'附件4 规划外'!D10</f>
        <v>涡河、铁底河、枣林沟、标台沟维修沿线涵闸、恢复防汛管理道路、堤防，疏浚清淤；前李节制闸、厉庄节制闸、裴庄节制闸、箍桶刘节制闸、西关节制闸、林场节制闸等6座水闸、管理道路水毁严重、上下游翼墙护坡坍塌断裂、闸门启闭机损坏等进行修复、更换启闭设施.赵口灌区涡河故道闸拐王闸、杨庄闸等水毁修复。</v>
      </c>
      <c r="X7">
        <f>'附件4 规划外'!E10</f>
        <v>428</v>
      </c>
      <c r="Y7">
        <f>'附件4 规划外'!F10</f>
        <v>0</v>
      </c>
      <c r="Z7">
        <f>'附件4 规划外'!G10</f>
        <v>428</v>
      </c>
      <c r="AA7">
        <f>'附件4 规划外'!H10</f>
        <v>0</v>
      </c>
      <c r="AB7" t="str">
        <f>'附件4 规划外'!I10</f>
        <v>完工</v>
      </c>
      <c r="AC7">
        <f>'附件4 规划外'!J10</f>
        <v>428</v>
      </c>
      <c r="AD7">
        <f>'附件4 规划外'!K10</f>
        <v>428</v>
      </c>
      <c r="AE7" t="str">
        <f>'附件4 规划外'!L10</f>
        <v>已完成</v>
      </c>
      <c r="AF7" s="26">
        <f>'附件4 规划外'!M10</f>
        <v>44531</v>
      </c>
      <c r="AG7" s="26">
        <f>'附件4 规划外'!N10</f>
        <v>44593</v>
      </c>
      <c r="AH7" t="str">
        <f>'附件4 规划外'!O10</f>
        <v>市水利局</v>
      </c>
      <c r="AI7" t="str">
        <f>'附件4 规划外'!P10</f>
        <v>通许县</v>
      </c>
      <c r="AJ7">
        <f>'附件4 规划外'!Q10</f>
        <v>0</v>
      </c>
      <c r="AK7">
        <f>'附件4 规划外'!R10</f>
        <v>0</v>
      </c>
    </row>
    <row r="8" spans="1:37">
      <c r="A8">
        <f>'附件3 规划内'!A15</f>
        <v>14</v>
      </c>
      <c r="B8" t="str">
        <f>'附件3 规划内'!B15</f>
        <v>涡河故道</v>
      </c>
      <c r="C8" t="str">
        <f>'附件3 规划内'!C15</f>
        <v>水利</v>
      </c>
      <c r="D8" t="str">
        <f>'附件3 规划内'!D15</f>
        <v>1、修复堤防；2、修复防汛管理道路；3、修复管理所</v>
      </c>
      <c r="E8">
        <f>'附件3 规划内'!E15</f>
        <v>10</v>
      </c>
      <c r="F8">
        <f>'附件3 规划内'!F15</f>
        <v>10</v>
      </c>
      <c r="G8">
        <f>'附件3 规划内'!G15</f>
        <v>0</v>
      </c>
      <c r="H8">
        <f>'附件3 规划内'!H15</f>
        <v>0</v>
      </c>
      <c r="I8" t="str">
        <f>'附件3 规划内'!I15</f>
        <v>完工</v>
      </c>
      <c r="J8">
        <f>'附件3 规划内'!J15</f>
        <v>10</v>
      </c>
      <c r="K8" t="str">
        <f>'附件3 规划内'!K15</f>
        <v/>
      </c>
      <c r="L8">
        <f>'附件3 规划内'!L15</f>
        <v>0</v>
      </c>
      <c r="M8" s="26">
        <f>'附件3 规划内'!M15</f>
        <v>44510</v>
      </c>
      <c r="N8" s="26">
        <f>'附件3 规划内'!N15</f>
        <v>44696</v>
      </c>
      <c r="O8" t="str">
        <f>'附件3 规划内'!O15</f>
        <v>市水利局</v>
      </c>
      <c r="P8" t="str">
        <f>'附件3 规划内'!P15</f>
        <v>通许县</v>
      </c>
      <c r="Q8">
        <f>'附件3 规划内'!Q15</f>
        <v>0</v>
      </c>
      <c r="R8">
        <f>'附件3 规划内'!R15</f>
        <v>0</v>
      </c>
      <c r="T8">
        <f>'附件4 规划外'!A11</f>
        <v>10</v>
      </c>
      <c r="U8" t="str">
        <f>'附件4 规划外'!B11</f>
        <v>开封市通许县铁底河（陈寨至木台庄段） 治理工程</v>
      </c>
      <c r="V8" t="str">
        <f>'附件4 规划外'!C11</f>
        <v>水利</v>
      </c>
      <c r="W8" t="str">
        <f>'附件4 规划外'!D11</f>
        <v>河道清淤约 5.79km、堤防修筑 4.664km、重建拦河闸1座，新 建排涝涵闸10座，重建跨河桥梁1座等。</v>
      </c>
      <c r="X8">
        <f>'附件4 规划外'!E11</f>
        <v>2300</v>
      </c>
      <c r="Y8">
        <f>'附件4 规划外'!F11</f>
        <v>0</v>
      </c>
      <c r="Z8">
        <f>'附件4 规划外'!G11</f>
        <v>2300</v>
      </c>
      <c r="AA8">
        <f>'附件4 规划外'!H11</f>
        <v>0</v>
      </c>
      <c r="AB8" t="str">
        <f>'附件4 规划外'!I11</f>
        <v>在建</v>
      </c>
      <c r="AC8">
        <f>'附件4 规划外'!J11</f>
        <v>1721</v>
      </c>
      <c r="AD8">
        <f>'附件4 规划外'!K11</f>
        <v>1721</v>
      </c>
      <c r="AE8" t="str">
        <f>'附件4 规划外'!L11</f>
        <v>正在实施</v>
      </c>
      <c r="AF8" s="26">
        <f>'附件4 规划外'!M11</f>
        <v>44652</v>
      </c>
      <c r="AG8" s="26">
        <f>'附件4 规划外'!N11</f>
        <v>45047</v>
      </c>
      <c r="AH8" t="str">
        <f>'附件4 规划外'!O11</f>
        <v>市水利局</v>
      </c>
      <c r="AI8" t="str">
        <f>'附件4 规划外'!P11</f>
        <v>通许县</v>
      </c>
      <c r="AJ8">
        <f>'附件4 规划外'!Q11</f>
        <v>0</v>
      </c>
      <c r="AK8">
        <f>'附件4 规划外'!R11</f>
        <v>0</v>
      </c>
    </row>
    <row r="9" spans="1:37">
      <c r="A9">
        <f>'附件3 规划内'!A16</f>
        <v>15</v>
      </c>
      <c r="B9" t="str">
        <f>'附件3 规划内'!B16</f>
        <v>涡河</v>
      </c>
      <c r="C9" t="str">
        <f>'附件3 规划内'!C16</f>
        <v>水利</v>
      </c>
      <c r="D9" t="str">
        <f>'附件3 规划内'!D16</f>
        <v>1、恢复堤防；2、维修沿线涵闸；</v>
      </c>
      <c r="E9">
        <f>'附件3 规划内'!E16</f>
        <v>150</v>
      </c>
      <c r="F9">
        <f>'附件3 规划内'!F16</f>
        <v>150</v>
      </c>
      <c r="G9">
        <f>'附件3 规划内'!G16</f>
        <v>0</v>
      </c>
      <c r="H9">
        <f>'附件3 规划内'!H16</f>
        <v>0</v>
      </c>
      <c r="I9" t="str">
        <f>'附件3 规划内'!I16</f>
        <v>完工</v>
      </c>
      <c r="J9">
        <f>'附件3 规划内'!J16</f>
        <v>150</v>
      </c>
      <c r="K9" t="str">
        <f>'附件3 规划内'!K16</f>
        <v/>
      </c>
      <c r="L9">
        <f>'附件3 规划内'!L16</f>
        <v>0</v>
      </c>
      <c r="M9" s="26">
        <f>'附件3 规划内'!M16</f>
        <v>44571</v>
      </c>
      <c r="N9" s="26">
        <f>'附件3 规划内'!N16</f>
        <v>44696</v>
      </c>
      <c r="O9" t="str">
        <f>'附件3 规划内'!O16</f>
        <v>市水利局</v>
      </c>
      <c r="P9" t="str">
        <f>'附件3 规划内'!P16</f>
        <v>通许县</v>
      </c>
      <c r="Q9">
        <f>'附件3 规划内'!Q16</f>
        <v>0</v>
      </c>
      <c r="R9">
        <f>'附件3 规划内'!R16</f>
        <v>0</v>
      </c>
      <c r="T9">
        <f>'附件4 规划外'!A12</f>
        <v>11</v>
      </c>
      <c r="U9" t="str">
        <f>'附件4 规划外'!B12</f>
        <v>河南省开封市通许县小清河治理工程
（乔寨桥至开通县界）</v>
      </c>
      <c r="V9" t="str">
        <f>'附件4 规划外'!C12</f>
        <v>水利</v>
      </c>
      <c r="W9" t="str">
        <f>'附件4 规划外'!D12</f>
        <v>本次治理范围为桩号小清河开通县界（28+285）～乔寨桥（35+280），治理河段清表、两岸岸坡整修共6.995km，修筑右岸混凝土防汛路6.642km，重建跨河桥梁5座，重建沿河两岸灌排两用涵闸10座。</v>
      </c>
      <c r="X9">
        <f>'附件4 规划外'!E12</f>
        <v>1850</v>
      </c>
      <c r="Y9">
        <f>'附件4 规划外'!F12</f>
        <v>0</v>
      </c>
      <c r="Z9">
        <f>'附件4 规划外'!G12</f>
        <v>1850</v>
      </c>
      <c r="AA9">
        <f>'附件4 规划外'!H12</f>
        <v>0</v>
      </c>
      <c r="AB9" t="str">
        <f>'附件4 规划外'!I12</f>
        <v>在建</v>
      </c>
      <c r="AC9">
        <f>'附件4 规划外'!J12</f>
        <v>1495</v>
      </c>
      <c r="AD9">
        <f>'附件4 规划外'!K12</f>
        <v>1495</v>
      </c>
      <c r="AE9" t="str">
        <f>'附件4 规划外'!L12</f>
        <v>正在实施</v>
      </c>
      <c r="AF9" s="26">
        <f>'附件4 规划外'!M12</f>
        <v>44652</v>
      </c>
      <c r="AG9" s="26">
        <f>'附件4 规划外'!N12</f>
        <v>45047</v>
      </c>
      <c r="AH9" t="str">
        <f>'附件4 规划外'!O12</f>
        <v>市水利局</v>
      </c>
      <c r="AI9" t="str">
        <f>'附件4 规划外'!P12</f>
        <v>通许县</v>
      </c>
      <c r="AJ9">
        <f>'附件4 规划外'!Q12</f>
        <v>0</v>
      </c>
      <c r="AK9">
        <f>'附件4 规划外'!R12</f>
        <v>0</v>
      </c>
    </row>
    <row r="10" spans="1:37">
      <c r="A10">
        <f>'附件3 规划内'!A17</f>
        <v>16</v>
      </c>
      <c r="B10" t="str">
        <f>'附件3 规划内'!B17</f>
        <v>孙城河</v>
      </c>
      <c r="C10" t="str">
        <f>'附件3 规划内'!C17</f>
        <v>水利</v>
      </c>
      <c r="D10" t="str">
        <f>'附件3 规划内'!D17</f>
        <v>孙营乡河道岸坡水毁修复450米（1处）</v>
      </c>
      <c r="E10">
        <f>'附件3 规划内'!E17</f>
        <v>50</v>
      </c>
      <c r="F10">
        <f>'附件3 规划内'!F17</f>
        <v>50</v>
      </c>
      <c r="G10">
        <f>'附件3 规划内'!G17</f>
        <v>0</v>
      </c>
      <c r="H10">
        <f>'附件3 规划内'!H17</f>
        <v>0</v>
      </c>
      <c r="I10" t="str">
        <f>'附件3 规划内'!I17</f>
        <v>完工</v>
      </c>
      <c r="J10">
        <f>'附件3 规划内'!J17</f>
        <v>50</v>
      </c>
      <c r="K10" t="str">
        <f>'附件3 规划内'!K17</f>
        <v/>
      </c>
      <c r="L10">
        <f>'附件3 规划内'!L17</f>
        <v>0</v>
      </c>
      <c r="M10" s="26">
        <f>'附件3 规划内'!M17</f>
        <v>44520</v>
      </c>
      <c r="N10" s="26">
        <f>'附件3 规划内'!N17</f>
        <v>44696</v>
      </c>
      <c r="O10" t="str">
        <f>'附件3 规划内'!O17</f>
        <v>市水利局</v>
      </c>
      <c r="P10" t="str">
        <f>'附件3 规划内'!P17</f>
        <v>通许县</v>
      </c>
      <c r="Q10">
        <f>'附件3 规划内'!Q17</f>
        <v>0</v>
      </c>
      <c r="R10">
        <f>'附件3 规划内'!R17</f>
        <v>0</v>
      </c>
      <c r="T10">
        <f>'附件4 规划外'!A24</f>
        <v>24</v>
      </c>
      <c r="U10" t="str">
        <f>'附件4 规划外'!B24</f>
        <v>通许县农村公路灾毁道路重建</v>
      </c>
      <c r="V10" t="str">
        <f>'附件4 规划外'!C24</f>
        <v>交通</v>
      </c>
      <c r="W10" t="str">
        <f>'附件4 规划外'!D24</f>
        <v>灾毁重建198公里</v>
      </c>
      <c r="X10">
        <f>'附件4 规划外'!E24</f>
        <v>37524</v>
      </c>
      <c r="Y10">
        <f>'附件4 规划外'!F24</f>
        <v>0</v>
      </c>
      <c r="Z10">
        <f>'附件4 规划外'!G24</f>
        <v>12619</v>
      </c>
      <c r="AA10">
        <f>'附件4 规划外'!H24</f>
        <v>24905</v>
      </c>
      <c r="AB10" t="str">
        <f>'附件4 规划外'!I24</f>
        <v>在建</v>
      </c>
      <c r="AC10">
        <f>'附件4 规划外'!J24</f>
        <v>12665</v>
      </c>
      <c r="AD10">
        <f>'附件4 规划外'!K24</f>
        <v>12665</v>
      </c>
      <c r="AE10" t="str">
        <f>'附件4 规划外'!L24</f>
        <v>在建</v>
      </c>
      <c r="AF10" s="26">
        <f>'附件4 规划外'!M24</f>
        <v>44621</v>
      </c>
      <c r="AG10" s="26">
        <f>'附件4 规划外'!N24</f>
        <v>45627</v>
      </c>
      <c r="AH10" t="str">
        <f>'附件4 规划外'!O24</f>
        <v>市交通运输局</v>
      </c>
      <c r="AI10" t="str">
        <f>'附件4 规划外'!P24</f>
        <v>通许县</v>
      </c>
      <c r="AJ10">
        <f>'附件4 规划外'!Q24</f>
        <v>0</v>
      </c>
      <c r="AK10">
        <f>'附件4 规划外'!R24</f>
        <v>0</v>
      </c>
    </row>
    <row r="11" spans="1:37">
      <c r="A11">
        <f>'附件3 规划内'!A18</f>
        <v>17</v>
      </c>
      <c r="B11" t="str">
        <f>'附件3 规划内'!B18</f>
        <v>枣林沟</v>
      </c>
      <c r="C11" t="str">
        <f>'附件3 规划内'!C18</f>
        <v>水利</v>
      </c>
      <c r="D11" t="str">
        <f>'附件3 规划内'!D18</f>
        <v>朱砂镇、长智镇、四所楼镇段水毁修复1500米（3处）</v>
      </c>
      <c r="E11">
        <f>'附件3 规划内'!E18</f>
        <v>50</v>
      </c>
      <c r="F11">
        <f>'附件3 规划内'!F18</f>
        <v>50</v>
      </c>
      <c r="G11">
        <f>'附件3 规划内'!G18</f>
        <v>0</v>
      </c>
      <c r="H11">
        <f>'附件3 规划内'!H18</f>
        <v>0</v>
      </c>
      <c r="I11" t="str">
        <f>'附件3 规划内'!I18</f>
        <v>完工</v>
      </c>
      <c r="J11">
        <f>'附件3 规划内'!J18</f>
        <v>50</v>
      </c>
      <c r="K11" t="str">
        <f>'附件3 规划内'!K18</f>
        <v/>
      </c>
      <c r="L11">
        <f>'附件3 规划内'!L18</f>
        <v>0</v>
      </c>
      <c r="M11" s="26">
        <f>'附件3 规划内'!M18</f>
        <v>44520</v>
      </c>
      <c r="N11" s="26">
        <f>'附件3 规划内'!N18</f>
        <v>44696</v>
      </c>
      <c r="O11" t="str">
        <f>'附件3 规划内'!O18</f>
        <v>市水利局</v>
      </c>
      <c r="P11" t="str">
        <f>'附件3 规划内'!P18</f>
        <v>通许县</v>
      </c>
      <c r="Q11">
        <f>'附件3 规划内'!Q18</f>
        <v>0</v>
      </c>
      <c r="R11">
        <f>'附件3 规划内'!R18</f>
        <v>0</v>
      </c>
      <c r="T11">
        <f>'附件4 规划外'!A25</f>
        <v>25</v>
      </c>
      <c r="U11" t="str">
        <f>'附件4 规划外'!B25</f>
        <v>通许县农村公路灾毁桥梁重建</v>
      </c>
      <c r="V11" t="str">
        <f>'附件4 规划外'!C25</f>
        <v>交通</v>
      </c>
      <c r="W11" t="str">
        <f>'附件4 规划外'!D25</f>
        <v>桥梁整体重建177延米</v>
      </c>
      <c r="X11">
        <f>'附件4 规划外'!E25</f>
        <v>873.2141</v>
      </c>
      <c r="Y11">
        <f>'附件4 规划外'!F25</f>
        <v>0</v>
      </c>
      <c r="Z11">
        <f>'附件4 规划外'!G25</f>
        <v>873.2141</v>
      </c>
      <c r="AA11">
        <f>'附件4 规划外'!H25</f>
        <v>0</v>
      </c>
      <c r="AB11" t="str">
        <f>'附件4 规划外'!I25</f>
        <v>在建</v>
      </c>
      <c r="AC11">
        <f>'附件4 规划外'!J25</f>
        <v>450</v>
      </c>
      <c r="AD11">
        <f>'附件4 规划外'!K25</f>
        <v>450</v>
      </c>
      <c r="AE11">
        <f>'附件4 规划外'!L25</f>
        <v>0</v>
      </c>
      <c r="AF11" s="26" t="str">
        <f>'附件4 规划外'!M25</f>
        <v>2022年</v>
      </c>
      <c r="AG11" s="26">
        <f>'附件4 规划外'!N25</f>
        <v>45627</v>
      </c>
      <c r="AH11" t="str">
        <f>'附件4 规划外'!O25</f>
        <v>市交通运输局</v>
      </c>
      <c r="AI11" t="str">
        <f>'附件4 规划外'!P25</f>
        <v>通许县</v>
      </c>
      <c r="AJ11">
        <f>'附件4 规划外'!Q25</f>
        <v>0</v>
      </c>
      <c r="AK11">
        <f>'附件4 规划外'!R25</f>
        <v>0</v>
      </c>
    </row>
    <row r="12" spans="1:37">
      <c r="A12">
        <f>'附件3 规划内'!A31</f>
        <v>30</v>
      </c>
      <c r="B12" t="str">
        <f>'附件3 规划内'!B31</f>
        <v>涡河裴庄节制闸</v>
      </c>
      <c r="C12" t="str">
        <f>'附件3 规划内'!C31</f>
        <v>水利</v>
      </c>
      <c r="D12" t="str">
        <f>'附件3 规划内'!D31</f>
        <v>上下游护坡水毁冲空；管理所院墙、屋顶等损坏修复</v>
      </c>
      <c r="E12">
        <f>'附件3 规划内'!E31</f>
        <v>22.5</v>
      </c>
      <c r="F12">
        <f>'附件3 规划内'!F31</f>
        <v>22.5</v>
      </c>
      <c r="G12">
        <f>'附件3 规划内'!G31</f>
        <v>0</v>
      </c>
      <c r="H12">
        <f>'附件3 规划内'!H31</f>
        <v>0</v>
      </c>
      <c r="I12" t="str">
        <f>'附件3 规划内'!I31</f>
        <v>完工</v>
      </c>
      <c r="J12">
        <f>'附件3 规划内'!J31</f>
        <v>22.5</v>
      </c>
      <c r="K12" t="str">
        <f>'附件3 规划内'!K31</f>
        <v/>
      </c>
      <c r="L12">
        <f>'附件3 规划内'!L31</f>
        <v>0</v>
      </c>
      <c r="M12" s="26">
        <f>'附件3 规划内'!M31</f>
        <v>44567</v>
      </c>
      <c r="N12" s="26">
        <f>'附件3 规划内'!N31</f>
        <v>44696</v>
      </c>
      <c r="O12" t="str">
        <f>'附件3 规划内'!O31</f>
        <v>市水利局</v>
      </c>
      <c r="P12" t="str">
        <f>'附件3 规划内'!P31</f>
        <v>通许县</v>
      </c>
      <c r="Q12">
        <f>'附件3 规划内'!Q31</f>
        <v>0</v>
      </c>
      <c r="R12">
        <f>'附件3 规划内'!R31</f>
        <v>0</v>
      </c>
      <c r="T12">
        <f>'附件4 规划外'!A48</f>
        <v>58</v>
      </c>
      <c r="U12" t="str">
        <f>'附件4 规划外'!B48</f>
        <v>通许县咸平大道东段道路升级改造工程</v>
      </c>
      <c r="V12" t="str">
        <f>'附件4 规划外'!C48</f>
        <v>市政</v>
      </c>
      <c r="W12" t="str">
        <f>'附件4 规划外'!D48</f>
        <v>修复路基长度1400米，路面8920平方米</v>
      </c>
      <c r="X12">
        <f>'附件4 规划外'!E48</f>
        <v>7531</v>
      </c>
      <c r="Y12">
        <f>'附件4 规划外'!F48</f>
        <v>7531</v>
      </c>
      <c r="Z12">
        <f>'附件4 规划外'!G48</f>
        <v>0</v>
      </c>
      <c r="AA12">
        <f>'附件4 规划外'!H48</f>
        <v>0</v>
      </c>
      <c r="AB12" t="str">
        <f>'附件4 规划外'!I48</f>
        <v>完工</v>
      </c>
      <c r="AC12">
        <f>'附件4 规划外'!J48</f>
        <v>7531</v>
      </c>
      <c r="AD12" t="str">
        <f>'附件4 规划外'!K48</f>
        <v/>
      </c>
      <c r="AE12" t="str">
        <f>'附件4 规划外'!L48</f>
        <v>已完工</v>
      </c>
      <c r="AF12" s="26">
        <f>'附件4 规划外'!M48</f>
        <v>44440</v>
      </c>
      <c r="AG12" s="26">
        <f>'附件4 规划外'!N48</f>
        <v>44531</v>
      </c>
      <c r="AH12" t="str">
        <f>'附件4 规划外'!O48</f>
        <v>市城管局</v>
      </c>
      <c r="AI12" t="str">
        <f>'附件4 规划外'!P48</f>
        <v>通许县</v>
      </c>
      <c r="AJ12">
        <f>'附件4 规划外'!Q48</f>
        <v>0</v>
      </c>
      <c r="AK12">
        <f>'附件4 规划外'!R48</f>
        <v>0</v>
      </c>
    </row>
    <row r="13" spans="1:37">
      <c r="A13">
        <f>'附件3 规划内'!A32</f>
        <v>31</v>
      </c>
      <c r="B13" t="str">
        <f>'附件3 规划内'!B32</f>
        <v>涡河箍桶刘节制闸</v>
      </c>
      <c r="C13" t="str">
        <f>'附件3 规划内'!C32</f>
        <v>水利</v>
      </c>
      <c r="D13" t="str">
        <f>'附件3 规划内'!D32</f>
        <v>部分启闭设施损坏修复</v>
      </c>
      <c r="E13">
        <f>'附件3 规划内'!E32</f>
        <v>15</v>
      </c>
      <c r="F13">
        <f>'附件3 规划内'!F32</f>
        <v>15</v>
      </c>
      <c r="G13">
        <f>'附件3 规划内'!G32</f>
        <v>0</v>
      </c>
      <c r="H13">
        <f>'附件3 规划内'!H32</f>
        <v>0</v>
      </c>
      <c r="I13" t="str">
        <f>'附件3 规划内'!I32</f>
        <v>完工</v>
      </c>
      <c r="J13">
        <f>'附件3 规划内'!J32</f>
        <v>15</v>
      </c>
      <c r="K13" t="str">
        <f>'附件3 规划内'!K32</f>
        <v/>
      </c>
      <c r="L13">
        <f>'附件3 规划内'!L32</f>
        <v>0</v>
      </c>
      <c r="M13" s="26">
        <f>'附件3 规划内'!M32</f>
        <v>44567</v>
      </c>
      <c r="N13" s="26">
        <f>'附件3 规划内'!N32</f>
        <v>44696</v>
      </c>
      <c r="O13" t="str">
        <f>'附件3 规划内'!O32</f>
        <v>市水利局</v>
      </c>
      <c r="P13" t="str">
        <f>'附件3 规划内'!P32</f>
        <v>通许县</v>
      </c>
      <c r="Q13">
        <f>'附件3 规划内'!Q32</f>
        <v>0</v>
      </c>
      <c r="R13">
        <f>'附件3 规划内'!R32</f>
        <v>0</v>
      </c>
      <c r="T13">
        <f>'附件4 规划外'!A49</f>
        <v>59</v>
      </c>
      <c r="U13" t="str">
        <f>'附件4 规划外'!B49</f>
        <v>通许县纵五路道路新建工程</v>
      </c>
      <c r="V13" t="str">
        <f>'附件4 规划外'!C49</f>
        <v>市政</v>
      </c>
      <c r="W13" t="str">
        <f>'附件4 规划外'!D49</f>
        <v>建设道路长度1018米</v>
      </c>
      <c r="X13">
        <f>'附件4 规划外'!E49</f>
        <v>2700</v>
      </c>
      <c r="Y13">
        <f>'附件4 规划外'!F49</f>
        <v>2460</v>
      </c>
      <c r="Z13">
        <f>'附件4 规划外'!G49</f>
        <v>240</v>
      </c>
      <c r="AA13">
        <f>'附件4 规划外'!H49</f>
        <v>0</v>
      </c>
      <c r="AB13" t="str">
        <f>'附件4 规划外'!I49</f>
        <v>完工</v>
      </c>
      <c r="AC13">
        <f>'附件4 规划外'!J49</f>
        <v>2700</v>
      </c>
      <c r="AD13">
        <f>'附件4 规划外'!K49</f>
        <v>240</v>
      </c>
      <c r="AE13" t="str">
        <f>'附件4 规划外'!L49</f>
        <v>已完工</v>
      </c>
      <c r="AF13" s="26">
        <f>'附件4 规划外'!M49</f>
        <v>44440</v>
      </c>
      <c r="AG13" s="26">
        <f>'附件4 规划外'!N49</f>
        <v>44652</v>
      </c>
      <c r="AH13" t="str">
        <f>'附件4 规划外'!O49</f>
        <v>市城管局</v>
      </c>
      <c r="AI13" t="str">
        <f>'附件4 规划外'!P49</f>
        <v>通许县</v>
      </c>
      <c r="AJ13">
        <f>'附件4 规划外'!Q49</f>
        <v>0</v>
      </c>
      <c r="AK13">
        <f>'附件4 规划外'!R49</f>
        <v>0</v>
      </c>
    </row>
    <row r="14" spans="1:37">
      <c r="A14">
        <f>'附件3 规划内'!A74</f>
        <v>73</v>
      </c>
      <c r="B14" t="str">
        <f>'附件3 规划内'!B74</f>
        <v>X011户北线</v>
      </c>
      <c r="C14" t="str">
        <f>'附件3 规划内'!C74</f>
        <v>交通</v>
      </c>
      <c r="D14" t="str">
        <f>'附件3 规划内'!D74</f>
        <v>恢复重建道路7.157公里</v>
      </c>
      <c r="E14">
        <f>'附件3 规划内'!E74</f>
        <v>2179.046</v>
      </c>
      <c r="F14">
        <f>'附件3 规划内'!F74</f>
        <v>50</v>
      </c>
      <c r="G14">
        <f>'附件3 规划内'!G74</f>
        <v>2129.046</v>
      </c>
      <c r="H14">
        <f>'附件3 规划内'!H74</f>
        <v>0</v>
      </c>
      <c r="I14" t="str">
        <f>'附件3 规划内'!I74</f>
        <v>完工</v>
      </c>
      <c r="J14">
        <f>'附件3 规划内'!J74</f>
        <v>2179.046</v>
      </c>
      <c r="K14">
        <f>'附件3 规划内'!K74</f>
        <v>2129.046</v>
      </c>
      <c r="L14">
        <f>'附件3 规划内'!L74</f>
        <v>0</v>
      </c>
      <c r="M14" s="26">
        <f>'附件3 规划内'!M74</f>
        <v>44550</v>
      </c>
      <c r="N14" s="26">
        <f>'附件3 规划内'!N74</f>
        <v>44926</v>
      </c>
      <c r="O14" t="str">
        <f>'附件3 规划内'!O74</f>
        <v>市交通运输局</v>
      </c>
      <c r="P14" t="str">
        <f>'附件3 规划内'!P74</f>
        <v>通许县</v>
      </c>
      <c r="Q14">
        <f>'附件3 规划内'!Q74</f>
        <v>0</v>
      </c>
      <c r="R14" t="str">
        <f>'附件3 规划内'!R74</f>
        <v>2022年12月底 农村公路</v>
      </c>
      <c r="T14">
        <f>'附件4 规划外'!A50</f>
        <v>60</v>
      </c>
      <c r="U14" t="str">
        <f>'附件4 规划外'!B50</f>
        <v>通许县新城区雨污错接混接整治项目</v>
      </c>
      <c r="V14" t="str">
        <f>'附件4 规划外'!C50</f>
        <v>市政</v>
      </c>
      <c r="W14" t="str">
        <f>'附件4 规划外'!D50</f>
        <v>县城城区规划以内，雨污水管网进行改造疏通。</v>
      </c>
      <c r="X14">
        <f>'附件4 规划外'!E50</f>
        <v>7200</v>
      </c>
      <c r="Y14">
        <f>'附件4 规划外'!F50</f>
        <v>0</v>
      </c>
      <c r="Z14">
        <f>'附件4 规划外'!G50</f>
        <v>4000</v>
      </c>
      <c r="AA14">
        <f>'附件4 规划外'!H50</f>
        <v>3200</v>
      </c>
      <c r="AB14" t="str">
        <f>'附件4 规划外'!I50</f>
        <v>在建</v>
      </c>
      <c r="AC14">
        <f>'附件4 规划外'!J50</f>
        <v>4980</v>
      </c>
      <c r="AD14">
        <f>'附件4 规划外'!K50</f>
        <v>4980</v>
      </c>
      <c r="AE14" t="str">
        <f>'附件4 规划外'!L50</f>
        <v>已完成98%</v>
      </c>
      <c r="AF14" s="26">
        <f>'附件4 规划外'!M50</f>
        <v>44621</v>
      </c>
      <c r="AG14" s="26">
        <f>'附件4 规划外'!N50</f>
        <v>45139</v>
      </c>
      <c r="AH14" t="str">
        <f>'附件4 规划外'!O50</f>
        <v>市城管局</v>
      </c>
      <c r="AI14" t="str">
        <f>'附件4 规划外'!P50</f>
        <v>通许县</v>
      </c>
      <c r="AJ14">
        <f>'附件4 规划外'!Q50</f>
        <v>0</v>
      </c>
      <c r="AK14">
        <f>'附件4 规划外'!R50</f>
        <v>0</v>
      </c>
    </row>
    <row r="15" spans="1:37">
      <c r="A15">
        <f>'附件3 规划内'!A75</f>
        <v>74</v>
      </c>
      <c r="B15" t="str">
        <f>'附件3 规划内'!B75</f>
        <v>Y034裴庄-百里池</v>
      </c>
      <c r="C15" t="str">
        <f>'附件3 规划内'!C75</f>
        <v>交通</v>
      </c>
      <c r="D15" t="str">
        <f>'附件3 规划内'!D75</f>
        <v>恢复重建道路6公里</v>
      </c>
      <c r="E15">
        <f>'附件3 规划内'!E75</f>
        <v>2157</v>
      </c>
      <c r="F15">
        <f>'附件3 规划内'!F75</f>
        <v>30</v>
      </c>
      <c r="G15">
        <f>'附件3 规划内'!G75</f>
        <v>2127</v>
      </c>
      <c r="H15">
        <f>'附件3 规划内'!H75</f>
        <v>0</v>
      </c>
      <c r="I15" t="str">
        <f>'附件3 规划内'!I75</f>
        <v>完工</v>
      </c>
      <c r="J15">
        <f>'附件3 规划内'!J75</f>
        <v>2157</v>
      </c>
      <c r="K15">
        <f>'附件3 规划内'!K75</f>
        <v>2127</v>
      </c>
      <c r="L15">
        <f>'附件3 规划内'!L75</f>
        <v>0</v>
      </c>
      <c r="M15" s="26">
        <f>'附件3 规划内'!M75</f>
        <v>44560</v>
      </c>
      <c r="N15" s="26">
        <f>'附件3 规划内'!N75</f>
        <v>44926</v>
      </c>
      <c r="O15" t="str">
        <f>'附件3 规划内'!O75</f>
        <v>市交通运输局</v>
      </c>
      <c r="P15" t="str">
        <f>'附件3 规划内'!P75</f>
        <v>通许县</v>
      </c>
      <c r="Q15">
        <f>'附件3 规划内'!Q75</f>
        <v>0</v>
      </c>
      <c r="R15" t="str">
        <f>'附件3 规划内'!R75</f>
        <v>2022年12月底 农村公路</v>
      </c>
      <c r="T15">
        <f>'附件4 规划外'!A51</f>
        <v>61</v>
      </c>
      <c r="U15" t="str">
        <f>'附件4 规划外'!B51</f>
        <v>通许县园区道路重建项目</v>
      </c>
      <c r="V15" t="str">
        <f>'附件4 规划外'!C51</f>
        <v>市政</v>
      </c>
      <c r="W15" t="str">
        <f>'附件4 规划外'!D51</f>
        <v>园区南路、祥云路、上海路中段路面重建，雨污管网修复</v>
      </c>
      <c r="X15">
        <f>'附件4 规划外'!E51</f>
        <v>5390</v>
      </c>
      <c r="Y15">
        <f>'附件4 规划外'!F51</f>
        <v>0</v>
      </c>
      <c r="Z15">
        <f>'附件4 规划外'!G51</f>
        <v>5000</v>
      </c>
      <c r="AA15">
        <f>'附件4 规划外'!H51</f>
        <v>390</v>
      </c>
      <c r="AB15" t="str">
        <f>'附件4 规划外'!I51</f>
        <v>完工</v>
      </c>
      <c r="AC15">
        <f>'附件4 规划外'!J51</f>
        <v>5390</v>
      </c>
      <c r="AD15">
        <f>'附件4 规划外'!K51</f>
        <v>5390</v>
      </c>
      <c r="AE15" t="str">
        <f>'附件4 规划外'!L51</f>
        <v>已完成57.3%</v>
      </c>
      <c r="AF15" s="26">
        <f>'附件4 规划外'!M51</f>
        <v>44621</v>
      </c>
      <c r="AG15" s="26">
        <f>'附件4 规划外'!N51</f>
        <v>44986</v>
      </c>
      <c r="AH15" t="str">
        <f>'附件4 规划外'!O51</f>
        <v>市城管局</v>
      </c>
      <c r="AI15" t="str">
        <f>'附件4 规划外'!P51</f>
        <v>通许县</v>
      </c>
      <c r="AJ15">
        <f>'附件4 规划外'!Q51</f>
        <v>0</v>
      </c>
      <c r="AK15">
        <f>'附件4 规划外'!R51</f>
        <v>0</v>
      </c>
    </row>
    <row r="16" spans="1:37">
      <c r="A16">
        <f>'附件3 规划内'!A98</f>
        <v>97</v>
      </c>
      <c r="B16" t="str">
        <f>'附件3 规划内'!B98</f>
        <v>2018年孙营乡南李佐村产业发展奖补大棚</v>
      </c>
      <c r="C16" t="str">
        <f>'附件3 规划内'!C98</f>
        <v>乡村振兴</v>
      </c>
      <c r="D16" t="str">
        <f>'附件3 规划内'!D98</f>
        <v>更换4座大棚棚膜、6座大棚棚体塌陷修复</v>
      </c>
      <c r="E16">
        <f>'附件3 规划内'!E98</f>
        <v>1.25</v>
      </c>
      <c r="F16">
        <f>'附件3 规划内'!F98</f>
        <v>1.25</v>
      </c>
      <c r="G16">
        <f>'附件3 规划内'!G98</f>
        <v>0</v>
      </c>
      <c r="H16">
        <f>'附件3 规划内'!H98</f>
        <v>0</v>
      </c>
      <c r="I16" t="str">
        <f>'附件3 规划内'!I98</f>
        <v>完工</v>
      </c>
      <c r="J16">
        <f>'附件3 规划内'!J98</f>
        <v>1.25</v>
      </c>
      <c r="K16" t="str">
        <f>'附件3 规划内'!K98</f>
        <v/>
      </c>
      <c r="L16">
        <f>'附件3 规划内'!L98</f>
        <v>0</v>
      </c>
      <c r="M16" s="26">
        <f>'附件3 规划内'!M98</f>
        <v>44409</v>
      </c>
      <c r="N16" s="26">
        <f>'附件3 规划内'!N98</f>
        <v>44500</v>
      </c>
      <c r="O16" t="str">
        <f>'附件3 规划内'!O98</f>
        <v>市乡村振兴局</v>
      </c>
      <c r="P16" t="str">
        <f>'附件3 规划内'!P98</f>
        <v>通许县</v>
      </c>
      <c r="Q16">
        <f>'附件3 规划内'!Q98</f>
        <v>0</v>
      </c>
      <c r="R16">
        <f>'附件3 规划内'!R98</f>
        <v>0</v>
      </c>
      <c r="T16">
        <f>'附件4 规划外'!A52</f>
        <v>62</v>
      </c>
      <c r="U16" t="str">
        <f>'附件4 规划外'!B52</f>
        <v>通许县城市基础设施灾后恢复重建项目</v>
      </c>
      <c r="V16" t="str">
        <f>'附件4 规划外'!C52</f>
        <v>市政</v>
      </c>
      <c r="W16" t="str">
        <f>'附件4 规划外'!D52</f>
        <v>环卫设施维修、照明设施维修、道路修复、雨污管网清淤、排水设施修复、垃圾场水毁设施修复等。</v>
      </c>
      <c r="X16">
        <f>'附件4 规划外'!E52</f>
        <v>6148.56</v>
      </c>
      <c r="Y16">
        <f>'附件4 规划外'!F52</f>
        <v>0</v>
      </c>
      <c r="Z16">
        <f>'附件4 规划外'!G52</f>
        <v>6148.56</v>
      </c>
      <c r="AA16">
        <f>'附件4 规划外'!H52</f>
        <v>0</v>
      </c>
      <c r="AB16" t="str">
        <f>'附件4 规划外'!I52</f>
        <v>完工</v>
      </c>
      <c r="AC16">
        <f>'附件4 规划外'!J52</f>
        <v>6148.56</v>
      </c>
      <c r="AD16">
        <f>'附件4 规划外'!K52</f>
        <v>6148.56</v>
      </c>
      <c r="AE16">
        <f>'附件4 规划外'!L52</f>
        <v>1</v>
      </c>
      <c r="AF16" s="26">
        <f>'附件4 规划外'!M52</f>
        <v>44743</v>
      </c>
      <c r="AG16" s="26">
        <f>'附件4 规划外'!N52</f>
        <v>44896</v>
      </c>
      <c r="AH16" t="str">
        <f>'附件4 规划外'!O52</f>
        <v>市城管局</v>
      </c>
      <c r="AI16" t="str">
        <f>'附件4 规划外'!P52</f>
        <v>通许县</v>
      </c>
      <c r="AJ16">
        <f>'附件4 规划外'!Q52</f>
        <v>0</v>
      </c>
      <c r="AK16">
        <f>'附件4 规划外'!R52</f>
        <v>0</v>
      </c>
    </row>
    <row r="17" spans="1:37">
      <c r="A17">
        <f>'附件3 规划内'!A99</f>
        <v>98</v>
      </c>
      <c r="B17" t="str">
        <f>'附件3 规划内'!B99</f>
        <v>2019年通许县孙营乡北孙营、南孙营村设施农业大棚奖补项目</v>
      </c>
      <c r="C17" t="str">
        <f>'附件3 规划内'!C99</f>
        <v>乡村振兴</v>
      </c>
      <c r="D17" t="str">
        <f>'附件3 规划内'!D99</f>
        <v>34座大棚棚膜更换，30座大棚更换部分钢架</v>
      </c>
      <c r="E17">
        <f>'附件3 规划内'!E99</f>
        <v>0.93</v>
      </c>
      <c r="F17">
        <f>'附件3 规划内'!F99</f>
        <v>0.93</v>
      </c>
      <c r="G17">
        <f>'附件3 规划内'!G99</f>
        <v>0</v>
      </c>
      <c r="H17">
        <f>'附件3 规划内'!H99</f>
        <v>0</v>
      </c>
      <c r="I17" t="str">
        <f>'附件3 规划内'!I99</f>
        <v>完工</v>
      </c>
      <c r="J17">
        <f>'附件3 规划内'!J99</f>
        <v>0.93</v>
      </c>
      <c r="K17" t="str">
        <f>'附件3 规划内'!K99</f>
        <v/>
      </c>
      <c r="L17">
        <f>'附件3 规划内'!L99</f>
        <v>0</v>
      </c>
      <c r="M17" s="26">
        <f>'附件3 规划内'!M99</f>
        <v>44409</v>
      </c>
      <c r="N17" s="26">
        <f>'附件3 规划内'!N99</f>
        <v>44500</v>
      </c>
      <c r="O17" t="str">
        <f>'附件3 规划内'!O99</f>
        <v>市乡村振兴局</v>
      </c>
      <c r="P17" t="str">
        <f>'附件3 规划内'!P99</f>
        <v>通许县</v>
      </c>
      <c r="Q17">
        <f>'附件3 规划内'!Q99</f>
        <v>0</v>
      </c>
      <c r="R17">
        <f>'附件3 规划内'!R99</f>
        <v>0</v>
      </c>
      <c r="T17">
        <f>'附件4 规划外'!A53</f>
        <v>63</v>
      </c>
      <c r="U17" t="str">
        <f>'附件4 规划外'!B53</f>
        <v>通许县城市停车场建设项目</v>
      </c>
      <c r="V17" t="str">
        <f>'附件4 规划外'!C53</f>
        <v>市政</v>
      </c>
      <c r="W17" t="str">
        <f>'附件4 规划外'!D53</f>
        <v>本项目建设20个停车场，充电桩585个，生态绿化、商业用房及服务物管等配套设施、通许县智能生态停车场建设项目，主要建设地上停车场、配套服务用房、充电设施和地下停车场一层及相关的地下空
间人防工程。</v>
      </c>
      <c r="X17">
        <f>'附件4 规划外'!E53</f>
        <v>17723.41</v>
      </c>
      <c r="Y17">
        <f>'附件4 规划外'!F53</f>
        <v>0</v>
      </c>
      <c r="Z17">
        <f>'附件4 规划外'!G53</f>
        <v>10000</v>
      </c>
      <c r="AA17">
        <f>'附件4 规划外'!H53</f>
        <v>7723.41</v>
      </c>
      <c r="AB17" t="str">
        <f>'附件4 规划外'!I53</f>
        <v>在建</v>
      </c>
      <c r="AC17">
        <f>'附件4 规划外'!J53</f>
        <v>4242.2</v>
      </c>
      <c r="AD17">
        <f>'附件4 规划外'!K53</f>
        <v>4242.2</v>
      </c>
      <c r="AE17" t="str">
        <f>'附件4 规划外'!L53</f>
        <v>已完成37%</v>
      </c>
      <c r="AF17" s="26">
        <f>'附件4 规划外'!M53</f>
        <v>44621</v>
      </c>
      <c r="AG17" s="26">
        <f>'附件4 规划外'!N53</f>
        <v>45139</v>
      </c>
      <c r="AH17" t="str">
        <f>'附件4 规划外'!O53</f>
        <v>市城管局</v>
      </c>
      <c r="AI17" t="str">
        <f>'附件4 规划外'!P53</f>
        <v>通许县</v>
      </c>
      <c r="AJ17">
        <f>'附件4 规划外'!Q53</f>
        <v>0</v>
      </c>
      <c r="AK17">
        <f>'附件4 规划外'!R53</f>
        <v>0</v>
      </c>
    </row>
    <row r="18" spans="1:37">
      <c r="A18">
        <f>'附件3 规划内'!A100</f>
        <v>99</v>
      </c>
      <c r="B18" t="str">
        <f>'附件3 规划内'!B100</f>
        <v>2019年通许县竖岗镇百里池村设施农业大棚奖补项目</v>
      </c>
      <c r="C18" t="str">
        <f>'附件3 规划内'!C100</f>
        <v>乡村振兴</v>
      </c>
      <c r="D18" t="str">
        <f>'附件3 规划内'!D100</f>
        <v>8座大棚更换棚膜、1座大棚棚体修复</v>
      </c>
      <c r="E18">
        <f>'附件3 规划内'!E100</f>
        <v>5.08</v>
      </c>
      <c r="F18">
        <f>'附件3 规划内'!F100</f>
        <v>5.08</v>
      </c>
      <c r="G18">
        <f>'附件3 规划内'!G100</f>
        <v>0</v>
      </c>
      <c r="H18">
        <f>'附件3 规划内'!H100</f>
        <v>0</v>
      </c>
      <c r="I18" t="str">
        <f>'附件3 规划内'!I100</f>
        <v>完工</v>
      </c>
      <c r="J18">
        <f>'附件3 规划内'!J100</f>
        <v>5.08</v>
      </c>
      <c r="K18" t="str">
        <f>'附件3 规划内'!K100</f>
        <v/>
      </c>
      <c r="L18">
        <f>'附件3 规划内'!L100</f>
        <v>0</v>
      </c>
      <c r="M18" s="26">
        <f>'附件3 规划内'!M100</f>
        <v>44409</v>
      </c>
      <c r="N18" s="26">
        <f>'附件3 规划内'!N100</f>
        <v>44500</v>
      </c>
      <c r="O18" t="str">
        <f>'附件3 规划内'!O100</f>
        <v>市乡村振兴局</v>
      </c>
      <c r="P18" t="str">
        <f>'附件3 规划内'!P100</f>
        <v>通许县</v>
      </c>
      <c r="Q18">
        <f>'附件3 规划内'!Q100</f>
        <v>0</v>
      </c>
      <c r="R18">
        <f>'附件3 规划内'!R100</f>
        <v>0</v>
      </c>
      <c r="T18">
        <f>'附件4 规划外'!A54</f>
        <v>64</v>
      </c>
      <c r="U18" t="str">
        <f>'附件4 规划外'!B54</f>
        <v>通许县道路修复工程</v>
      </c>
      <c r="V18" t="str">
        <f>'附件4 规划外'!C54</f>
        <v>市政</v>
      </c>
      <c r="W18" t="str">
        <f>'附件4 规划外'!D54</f>
        <v>对通许县咸平大道、工业大道、商业路、裕丰路进行道路修复</v>
      </c>
      <c r="X18">
        <f>'附件4 规划外'!E54</f>
        <v>9052</v>
      </c>
      <c r="Y18">
        <f>'附件4 规划外'!F54</f>
        <v>0</v>
      </c>
      <c r="Z18">
        <f>'附件4 规划外'!G54</f>
        <v>8000</v>
      </c>
      <c r="AA18">
        <f>'附件4 规划外'!H54</f>
        <v>1052</v>
      </c>
      <c r="AB18" t="str">
        <f>'附件4 规划外'!I54</f>
        <v>在建</v>
      </c>
      <c r="AC18">
        <f>'附件4 规划外'!J54</f>
        <v>8018</v>
      </c>
      <c r="AD18">
        <f>'附件4 规划外'!K54</f>
        <v>8018</v>
      </c>
      <c r="AE18" t="str">
        <f>'附件4 规划外'!L54</f>
        <v>已完成39%</v>
      </c>
      <c r="AF18" s="26">
        <f>'附件4 规划外'!M54</f>
        <v>44621</v>
      </c>
      <c r="AG18" s="26">
        <f>'附件4 规划外'!N54</f>
        <v>44986</v>
      </c>
      <c r="AH18" t="str">
        <f>'附件4 规划外'!O54</f>
        <v>市城管局</v>
      </c>
      <c r="AI18" t="str">
        <f>'附件4 规划外'!P54</f>
        <v>通许县</v>
      </c>
      <c r="AJ18">
        <f>'附件4 规划外'!Q54</f>
        <v>0</v>
      </c>
      <c r="AK18">
        <f>'附件4 规划外'!R54</f>
        <v>0</v>
      </c>
    </row>
    <row r="19" spans="1:37">
      <c r="A19">
        <f>'附件3 规划内'!A101</f>
        <v>100</v>
      </c>
      <c r="B19" t="str">
        <f>'附件3 规划内'!B101</f>
        <v>2018年竖岗镇前刘庄村扶贫产业大棚奖补项目</v>
      </c>
      <c r="C19" t="str">
        <f>'附件3 规划内'!C101</f>
        <v>乡村振兴</v>
      </c>
      <c r="D19" t="str">
        <f>'附件3 规划内'!D101</f>
        <v>大棚4座棚膜修复</v>
      </c>
      <c r="E19">
        <f>'附件3 规划内'!E101</f>
        <v>5</v>
      </c>
      <c r="F19">
        <f>'附件3 规划内'!F101</f>
        <v>5</v>
      </c>
      <c r="G19">
        <f>'附件3 规划内'!G101</f>
        <v>0</v>
      </c>
      <c r="H19">
        <f>'附件3 规划内'!H101</f>
        <v>0</v>
      </c>
      <c r="I19" t="str">
        <f>'附件3 规划内'!I101</f>
        <v>完工</v>
      </c>
      <c r="J19">
        <f>'附件3 规划内'!J101</f>
        <v>5</v>
      </c>
      <c r="K19" t="str">
        <f>'附件3 规划内'!K101</f>
        <v/>
      </c>
      <c r="L19">
        <f>'附件3 规划内'!L101</f>
        <v>0</v>
      </c>
      <c r="M19" s="26">
        <f>'附件3 规划内'!M101</f>
        <v>44409</v>
      </c>
      <c r="N19" s="26">
        <f>'附件3 规划内'!N101</f>
        <v>44500</v>
      </c>
      <c r="O19" t="str">
        <f>'附件3 规划内'!O101</f>
        <v>市乡村振兴局</v>
      </c>
      <c r="P19" t="str">
        <f>'附件3 规划内'!P101</f>
        <v>通许县</v>
      </c>
      <c r="Q19">
        <f>'附件3 规划内'!Q101</f>
        <v>0</v>
      </c>
      <c r="R19">
        <f>'附件3 规划内'!R101</f>
        <v>0</v>
      </c>
      <c r="T19">
        <f>'附件4 规划外'!A55</f>
        <v>65</v>
      </c>
      <c r="U19" t="str">
        <f>'附件4 规划外'!B55</f>
        <v>通许县建设景观渠（望月河）修复</v>
      </c>
      <c r="V19" t="str">
        <f>'附件4 规划外'!C55</f>
        <v>市政</v>
      </c>
      <c r="W19" t="str">
        <f>'附件4 规划外'!D55</f>
        <v>建设景观渠（望月河）修复</v>
      </c>
      <c r="X19">
        <f>'附件4 规划外'!E55</f>
        <v>650</v>
      </c>
      <c r="Y19">
        <f>'附件4 规划外'!F55</f>
        <v>460</v>
      </c>
      <c r="Z19">
        <f>'附件4 规划外'!G55</f>
        <v>190</v>
      </c>
      <c r="AA19">
        <f>'附件4 规划外'!H55</f>
        <v>0</v>
      </c>
      <c r="AB19" t="str">
        <f>'附件4 规划外'!I55</f>
        <v>完工</v>
      </c>
      <c r="AC19">
        <f>'附件4 规划外'!J55</f>
        <v>650</v>
      </c>
      <c r="AD19">
        <f>'附件4 规划外'!K55</f>
        <v>190</v>
      </c>
      <c r="AE19" t="str">
        <f>'附件4 规划外'!L55</f>
        <v>已完工</v>
      </c>
      <c r="AF19" s="26">
        <f>'附件4 规划外'!M55</f>
        <v>44470</v>
      </c>
      <c r="AG19" s="26">
        <f>'附件4 规划外'!N55</f>
        <v>44621</v>
      </c>
      <c r="AH19" t="str">
        <f>'附件4 规划外'!O55</f>
        <v>市城管局</v>
      </c>
      <c r="AI19" t="str">
        <f>'附件4 规划外'!P55</f>
        <v>通许县</v>
      </c>
      <c r="AJ19">
        <f>'附件4 规划外'!Q55</f>
        <v>0</v>
      </c>
      <c r="AK19">
        <f>'附件4 规划外'!R55</f>
        <v>0</v>
      </c>
    </row>
    <row r="20" spans="1:37">
      <c r="A20">
        <f>'附件3 规划内'!A102</f>
        <v>101</v>
      </c>
      <c r="B20" t="str">
        <f>'附件3 规划内'!B102</f>
        <v>2018年玉皇庙镇深度贫困村（西陈集）建设项目</v>
      </c>
      <c r="C20" t="str">
        <f>'附件3 规划内'!C102</f>
        <v>乡村振兴</v>
      </c>
      <c r="D20" t="str">
        <f>'附件3 规划内'!D102</f>
        <v>完成30个大棚骨架、棚膜、墙体的修复</v>
      </c>
      <c r="E20">
        <f>'附件3 规划内'!E102</f>
        <v>5.1</v>
      </c>
      <c r="F20">
        <f>'附件3 规划内'!F102</f>
        <v>5.1</v>
      </c>
      <c r="G20">
        <f>'附件3 规划内'!G102</f>
        <v>0</v>
      </c>
      <c r="H20">
        <f>'附件3 规划内'!H102</f>
        <v>0</v>
      </c>
      <c r="I20" t="str">
        <f>'附件3 规划内'!I102</f>
        <v>完工</v>
      </c>
      <c r="J20">
        <f>'附件3 规划内'!J102</f>
        <v>5.1</v>
      </c>
      <c r="K20" t="str">
        <f>'附件3 规划内'!K102</f>
        <v/>
      </c>
      <c r="L20">
        <f>'附件3 规划内'!L102</f>
        <v>0</v>
      </c>
      <c r="M20" s="26">
        <f>'附件3 规划内'!M102</f>
        <v>44409</v>
      </c>
      <c r="N20" s="26">
        <f>'附件3 规划内'!N102</f>
        <v>44500</v>
      </c>
      <c r="O20" t="str">
        <f>'附件3 规划内'!O102</f>
        <v>市乡村振兴局</v>
      </c>
      <c r="P20" t="str">
        <f>'附件3 规划内'!P102</f>
        <v>通许县</v>
      </c>
      <c r="Q20">
        <f>'附件3 规划内'!Q102</f>
        <v>0</v>
      </c>
      <c r="R20">
        <f>'附件3 规划内'!R102</f>
        <v>0</v>
      </c>
      <c r="T20">
        <f>'附件4 规划外'!A56</f>
        <v>66</v>
      </c>
      <c r="U20" t="str">
        <f>'附件4 规划外'!B56</f>
        <v>通许县生活垃圾裂解、焚烧供热项目</v>
      </c>
      <c r="V20" t="str">
        <f>'附件4 规划外'!C56</f>
        <v>市政</v>
      </c>
      <c r="W20" t="str">
        <f>'附件4 规划外'!D56</f>
        <v>本项目总用地面积 30 亩，设计处理垃圾规模 400 吨/日。主要建设内容为：厂区建筑安装工程、总图工程及设备购置。</v>
      </c>
      <c r="X20">
        <f>'附件4 规划外'!E56</f>
        <v>8000</v>
      </c>
      <c r="Y20">
        <f>'附件4 规划外'!F56</f>
        <v>0</v>
      </c>
      <c r="Z20">
        <f>'附件4 规划外'!G56</f>
        <v>5000</v>
      </c>
      <c r="AA20">
        <f>'附件4 规划外'!H56</f>
        <v>3000</v>
      </c>
      <c r="AB20" t="str">
        <f>'附件4 规划外'!I56</f>
        <v>在建</v>
      </c>
      <c r="AC20">
        <f>'附件4 规划外'!J56</f>
        <v>3275</v>
      </c>
      <c r="AD20">
        <f>'附件4 规划外'!K56</f>
        <v>3275</v>
      </c>
      <c r="AE20" t="str">
        <f>'附件4 规划外'!L56</f>
        <v>已开工</v>
      </c>
      <c r="AF20" s="26">
        <f>'附件4 规划外'!M56</f>
        <v>44805</v>
      </c>
      <c r="AG20" s="26">
        <f>'附件4 规划外'!N56</f>
        <v>45139</v>
      </c>
      <c r="AH20" t="str">
        <f>'附件4 规划外'!O56</f>
        <v>市城管局</v>
      </c>
      <c r="AI20" t="str">
        <f>'附件4 规划外'!P56</f>
        <v>通许县</v>
      </c>
      <c r="AJ20">
        <f>'附件4 规划外'!Q56</f>
        <v>0</v>
      </c>
      <c r="AK20">
        <f>'附件4 规划外'!R56</f>
        <v>0</v>
      </c>
    </row>
    <row r="21" spans="1:37">
      <c r="A21">
        <f>'附件3 规划内'!A103</f>
        <v>102</v>
      </c>
      <c r="B21" t="str">
        <f>'附件3 规划内'!B103</f>
        <v>2019年玉皇庙镇西陈集村产业大棚奖补项目</v>
      </c>
      <c r="C21" t="str">
        <f>'附件3 规划内'!C103</f>
        <v>乡村振兴</v>
      </c>
      <c r="D21" t="str">
        <f>'附件3 规划内'!D103</f>
        <v>24座大棚，重新安装棚门39个，棚膜换新15个</v>
      </c>
      <c r="E21">
        <f>'附件3 规划内'!E103</f>
        <v>1.2</v>
      </c>
      <c r="F21">
        <f>'附件3 规划内'!F103</f>
        <v>1.2</v>
      </c>
      <c r="G21">
        <f>'附件3 规划内'!G103</f>
        <v>0</v>
      </c>
      <c r="H21">
        <f>'附件3 规划内'!H103</f>
        <v>0</v>
      </c>
      <c r="I21" t="str">
        <f>'附件3 规划内'!I103</f>
        <v>完工</v>
      </c>
      <c r="J21">
        <f>'附件3 规划内'!J103</f>
        <v>1.2</v>
      </c>
      <c r="K21" t="str">
        <f>'附件3 规划内'!K103</f>
        <v/>
      </c>
      <c r="L21">
        <f>'附件3 规划内'!L103</f>
        <v>0</v>
      </c>
      <c r="M21" s="26">
        <f>'附件3 规划内'!M103</f>
        <v>44409</v>
      </c>
      <c r="N21" s="26">
        <f>'附件3 规划内'!N103</f>
        <v>44500</v>
      </c>
      <c r="O21" t="str">
        <f>'附件3 规划内'!O103</f>
        <v>市乡村振兴局</v>
      </c>
      <c r="P21" t="str">
        <f>'附件3 规划内'!P103</f>
        <v>通许县</v>
      </c>
      <c r="Q21">
        <f>'附件3 规划内'!Q103</f>
        <v>0</v>
      </c>
      <c r="R21">
        <f>'附件3 规划内'!R103</f>
        <v>0</v>
      </c>
      <c r="T21">
        <f>'附件4 规划外'!A57</f>
        <v>67</v>
      </c>
      <c r="U21" t="str">
        <f>'附件4 规划外'!B57</f>
        <v>通许县垃圾填埋厂渗滤液调节池</v>
      </c>
      <c r="V21" t="str">
        <f>'附件4 规划外'!C57</f>
        <v>市政</v>
      </c>
      <c r="W21" t="str">
        <f>'附件4 规划外'!D57</f>
        <v>新建设渗滤液调节池一座</v>
      </c>
      <c r="X21">
        <f>'附件4 规划外'!E57</f>
        <v>120</v>
      </c>
      <c r="Y21">
        <f>'附件4 规划外'!F57</f>
        <v>120</v>
      </c>
      <c r="Z21">
        <f>'附件4 规划外'!G57</f>
        <v>0</v>
      </c>
      <c r="AA21">
        <f>'附件4 规划外'!H57</f>
        <v>0</v>
      </c>
      <c r="AB21" t="str">
        <f>'附件4 规划外'!I57</f>
        <v>完工</v>
      </c>
      <c r="AC21">
        <f>'附件4 规划外'!J57</f>
        <v>120</v>
      </c>
      <c r="AD21" t="str">
        <f>'附件4 规划外'!K57</f>
        <v/>
      </c>
      <c r="AE21">
        <f>'附件4 规划外'!L57</f>
        <v>1</v>
      </c>
      <c r="AF21" s="26">
        <f>'附件4 规划外'!M57</f>
        <v>44440</v>
      </c>
      <c r="AG21" s="26">
        <f>'附件4 规划外'!N57</f>
        <v>44531</v>
      </c>
      <c r="AH21" t="str">
        <f>'附件4 规划外'!O57</f>
        <v>市城管局</v>
      </c>
      <c r="AI21" t="str">
        <f>'附件4 规划外'!P57</f>
        <v>通许县</v>
      </c>
      <c r="AJ21">
        <f>'附件4 规划外'!Q57</f>
        <v>0</v>
      </c>
      <c r="AK21">
        <f>'附件4 规划外'!R57</f>
        <v>0</v>
      </c>
    </row>
    <row r="22" spans="1:37">
      <c r="A22">
        <f>'附件3 规划内'!A104</f>
        <v>103</v>
      </c>
      <c r="B22" t="str">
        <f>'附件3 规划内'!B104</f>
        <v>2020年通许县冯庄乡陈庄村千亩农业现代产业园项目</v>
      </c>
      <c r="C22" t="str">
        <f>'附件3 规划内'!C104</f>
        <v>乡村振兴</v>
      </c>
      <c r="D22" t="str">
        <f>'附件3 规划内'!D104</f>
        <v>25座大棚，重新安装棚门36个，棚膜换新7个</v>
      </c>
      <c r="E22">
        <f>'附件3 规划内'!E104</f>
        <v>24.58</v>
      </c>
      <c r="F22">
        <f>'附件3 规划内'!F104</f>
        <v>24.58</v>
      </c>
      <c r="G22">
        <f>'附件3 规划内'!G104</f>
        <v>0</v>
      </c>
      <c r="H22">
        <f>'附件3 规划内'!H104</f>
        <v>0</v>
      </c>
      <c r="I22" t="str">
        <f>'附件3 规划内'!I104</f>
        <v>完工</v>
      </c>
      <c r="J22">
        <f>'附件3 规划内'!J104</f>
        <v>24.58</v>
      </c>
      <c r="K22" t="str">
        <f>'附件3 规划内'!K104</f>
        <v/>
      </c>
      <c r="L22">
        <f>'附件3 规划内'!L104</f>
        <v>0</v>
      </c>
      <c r="M22" s="26">
        <f>'附件3 规划内'!M104</f>
        <v>44409</v>
      </c>
      <c r="N22" s="26">
        <f>'附件3 规划内'!N104</f>
        <v>44500</v>
      </c>
      <c r="O22" t="str">
        <f>'附件3 规划内'!O104</f>
        <v>市乡村振兴局</v>
      </c>
      <c r="P22" t="str">
        <f>'附件3 规划内'!P104</f>
        <v>通许县</v>
      </c>
      <c r="Q22">
        <f>'附件3 规划内'!Q104</f>
        <v>0</v>
      </c>
      <c r="R22">
        <f>'附件3 规划内'!R104</f>
        <v>0</v>
      </c>
      <c r="T22">
        <f>'附件4 规划外'!A80</f>
        <v>90</v>
      </c>
      <c r="U22" t="str">
        <f>'附件4 规划外'!B80</f>
        <v>2019年通许县竖岗镇张营村温室大棚项目</v>
      </c>
      <c r="V22" t="str">
        <f>'附件4 规划外'!C80</f>
        <v>乡村振兴</v>
      </c>
      <c r="W22" t="str">
        <f>'附件4 规划外'!D80</f>
        <v>1个棚门、两个钢管维修</v>
      </c>
      <c r="X22">
        <f>'附件4 规划外'!E80</f>
        <v>0.08</v>
      </c>
      <c r="Y22">
        <f>'附件4 规划外'!F80</f>
        <v>0.08</v>
      </c>
      <c r="Z22">
        <f>'附件4 规划外'!G80</f>
        <v>0</v>
      </c>
      <c r="AA22">
        <f>'附件4 规划外'!H80</f>
        <v>0</v>
      </c>
      <c r="AB22" t="str">
        <f>'附件4 规划外'!I80</f>
        <v>完工</v>
      </c>
      <c r="AC22">
        <f>'附件4 规划外'!J80</f>
        <v>0.08</v>
      </c>
      <c r="AD22" t="str">
        <f>'附件4 规划外'!K80</f>
        <v/>
      </c>
      <c r="AE22" t="str">
        <f>'附件4 规划外'!L80</f>
        <v>已完工</v>
      </c>
      <c r="AF22" s="26">
        <f>'附件4 规划外'!M80</f>
        <v>44440</v>
      </c>
      <c r="AG22" s="26">
        <f>'附件4 规划外'!N80</f>
        <v>44531</v>
      </c>
      <c r="AH22" t="str">
        <f>'附件4 规划外'!O80</f>
        <v>市乡村振兴局</v>
      </c>
      <c r="AI22" t="str">
        <f>'附件4 规划外'!P80</f>
        <v>通许县</v>
      </c>
      <c r="AJ22">
        <f>'附件4 规划外'!Q80</f>
        <v>0</v>
      </c>
      <c r="AK22">
        <f>'附件4 规划外'!R80</f>
        <v>0</v>
      </c>
    </row>
    <row r="23" spans="1:37">
      <c r="A23">
        <f>'附件3 规划内'!A105</f>
        <v>104</v>
      </c>
      <c r="B23" t="str">
        <f>'附件3 规划内'!B105</f>
        <v>2020年冯庄乡东双沟村蔬菜大棚建设项目</v>
      </c>
      <c r="C23" t="str">
        <f>'附件3 规划内'!C105</f>
        <v>乡村振兴</v>
      </c>
      <c r="D23" t="str">
        <f>'附件3 规划内'!D105</f>
        <v>三赵村修复大棚9座，更换棚膜</v>
      </c>
      <c r="E23">
        <f>'附件3 规划内'!E105</f>
        <v>3.17</v>
      </c>
      <c r="F23">
        <f>'附件3 规划内'!F105</f>
        <v>3.17</v>
      </c>
      <c r="G23">
        <f>'附件3 规划内'!G105</f>
        <v>0</v>
      </c>
      <c r="H23">
        <f>'附件3 规划内'!H105</f>
        <v>0</v>
      </c>
      <c r="I23" t="str">
        <f>'附件3 规划内'!I105</f>
        <v>完工</v>
      </c>
      <c r="J23">
        <f>'附件3 规划内'!J105</f>
        <v>3.17</v>
      </c>
      <c r="K23" t="str">
        <f>'附件3 规划内'!K105</f>
        <v/>
      </c>
      <c r="L23">
        <f>'附件3 规划内'!L105</f>
        <v>0</v>
      </c>
      <c r="M23" s="26">
        <f>'附件3 规划内'!M105</f>
        <v>44409</v>
      </c>
      <c r="N23" s="26">
        <f>'附件3 规划内'!N105</f>
        <v>44500</v>
      </c>
      <c r="O23" t="str">
        <f>'附件3 规划内'!O105</f>
        <v>市乡村振兴局</v>
      </c>
      <c r="P23" t="str">
        <f>'附件3 规划内'!P105</f>
        <v>通许县</v>
      </c>
      <c r="Q23">
        <f>'附件3 规划内'!Q105</f>
        <v>0</v>
      </c>
      <c r="R23">
        <f>'附件3 规划内'!R105</f>
        <v>0</v>
      </c>
      <c r="T23">
        <f>'附件4 规划外'!A81</f>
        <v>91</v>
      </c>
      <c r="U23" t="str">
        <f>'附件4 规划外'!B81</f>
        <v>2019年通许县竖岗镇前刘庄村鸭棚项目</v>
      </c>
      <c r="V23" t="str">
        <f>'附件4 规划外'!C81</f>
        <v>乡村振兴</v>
      </c>
      <c r="W23" t="str">
        <f>'附件4 规划外'!D81</f>
        <v>鸭棚顶2个破洞、水池塌一个进行维修、鸭棚井塌陷进行修复</v>
      </c>
      <c r="X23">
        <f>'附件4 规划外'!E81</f>
        <v>1.2</v>
      </c>
      <c r="Y23">
        <f>'附件4 规划外'!F81</f>
        <v>1.2</v>
      </c>
      <c r="Z23">
        <f>'附件4 规划外'!G81</f>
        <v>0</v>
      </c>
      <c r="AA23">
        <f>'附件4 规划外'!H81</f>
        <v>0</v>
      </c>
      <c r="AB23" t="str">
        <f>'附件4 规划外'!I81</f>
        <v>完工</v>
      </c>
      <c r="AC23">
        <f>'附件4 规划外'!J81</f>
        <v>1.2</v>
      </c>
      <c r="AD23" t="str">
        <f>'附件4 规划外'!K81</f>
        <v/>
      </c>
      <c r="AE23" t="str">
        <f>'附件4 规划外'!L81</f>
        <v>已完工</v>
      </c>
      <c r="AF23" s="26">
        <f>'附件4 规划外'!M81</f>
        <v>44440</v>
      </c>
      <c r="AG23" s="26">
        <f>'附件4 规划外'!N81</f>
        <v>44531</v>
      </c>
      <c r="AH23" t="str">
        <f>'附件4 规划外'!O81</f>
        <v>市乡村振兴局</v>
      </c>
      <c r="AI23" t="str">
        <f>'附件4 规划外'!P81</f>
        <v>通许县</v>
      </c>
      <c r="AJ23">
        <f>'附件4 规划外'!Q81</f>
        <v>0</v>
      </c>
      <c r="AK23">
        <f>'附件4 规划外'!R81</f>
        <v>0</v>
      </c>
    </row>
    <row r="24" spans="1:37">
      <c r="A24">
        <f>'附件3 规划内'!A106</f>
        <v>105</v>
      </c>
      <c r="B24" t="str">
        <f>'附件3 规划内'!B106</f>
        <v>2020年冯庄乡小城村蔬菜大棚建设项目</v>
      </c>
      <c r="C24" t="str">
        <f>'附件3 规划内'!C106</f>
        <v>乡村振兴</v>
      </c>
      <c r="D24" t="str">
        <f>'附件3 规划内'!D106</f>
        <v>任寨村修复大棚22座，更换棚膜,4座框架修复</v>
      </c>
      <c r="E24">
        <f>'附件3 规划内'!E106</f>
        <v>1.73</v>
      </c>
      <c r="F24">
        <f>'附件3 规划内'!F106</f>
        <v>1.73</v>
      </c>
      <c r="G24">
        <f>'附件3 规划内'!G106</f>
        <v>0</v>
      </c>
      <c r="H24">
        <f>'附件3 规划内'!H106</f>
        <v>0</v>
      </c>
      <c r="I24" t="str">
        <f>'附件3 规划内'!I106</f>
        <v>完工</v>
      </c>
      <c r="J24">
        <f>'附件3 规划内'!J106</f>
        <v>1.73</v>
      </c>
      <c r="K24" t="str">
        <f>'附件3 规划内'!K106</f>
        <v/>
      </c>
      <c r="L24">
        <f>'附件3 规划内'!L106</f>
        <v>0</v>
      </c>
      <c r="M24" s="26">
        <f>'附件3 规划内'!M106</f>
        <v>44409</v>
      </c>
      <c r="N24" s="26">
        <f>'附件3 规划内'!N106</f>
        <v>44500</v>
      </c>
      <c r="O24" t="str">
        <f>'附件3 规划内'!O106</f>
        <v>市乡村振兴局</v>
      </c>
      <c r="P24" t="str">
        <f>'附件3 规划内'!P106</f>
        <v>通许县</v>
      </c>
      <c r="Q24">
        <f>'附件3 规划内'!Q106</f>
        <v>0</v>
      </c>
      <c r="R24">
        <f>'附件3 规划内'!R106</f>
        <v>0</v>
      </c>
      <c r="T24">
        <f>'附件4 规划外'!A82</f>
        <v>92</v>
      </c>
      <c r="U24" t="str">
        <f>'附件4 规划外'!B82</f>
        <v>2020年通许县竖岗镇张营村大棚建设项目</v>
      </c>
      <c r="V24" t="str">
        <f>'附件4 规划外'!C82</f>
        <v>乡村振兴</v>
      </c>
      <c r="W24" t="str">
        <f>'附件4 规划外'!D82</f>
        <v>8个棚门修复</v>
      </c>
      <c r="X24">
        <f>'附件4 规划外'!E82</f>
        <v>0.15</v>
      </c>
      <c r="Y24">
        <f>'附件4 规划外'!F82</f>
        <v>0.15</v>
      </c>
      <c r="Z24">
        <f>'附件4 规划外'!G82</f>
        <v>0</v>
      </c>
      <c r="AA24">
        <f>'附件4 规划外'!H82</f>
        <v>0</v>
      </c>
      <c r="AB24" t="str">
        <f>'附件4 规划外'!I82</f>
        <v>完工</v>
      </c>
      <c r="AC24">
        <f>'附件4 规划外'!J82</f>
        <v>0.15</v>
      </c>
      <c r="AD24" t="str">
        <f>'附件4 规划外'!K82</f>
        <v/>
      </c>
      <c r="AE24" t="str">
        <f>'附件4 规划外'!L82</f>
        <v>已完工</v>
      </c>
      <c r="AF24" s="26">
        <f>'附件4 规划外'!M82</f>
        <v>44440</v>
      </c>
      <c r="AG24" s="26">
        <f>'附件4 规划外'!N82</f>
        <v>44531</v>
      </c>
      <c r="AH24" t="str">
        <f>'附件4 规划外'!O82</f>
        <v>市乡村振兴局</v>
      </c>
      <c r="AI24" t="str">
        <f>'附件4 规划外'!P82</f>
        <v>通许县</v>
      </c>
      <c r="AJ24">
        <f>'附件4 规划外'!Q82</f>
        <v>0</v>
      </c>
      <c r="AK24">
        <f>'附件4 规划外'!R82</f>
        <v>0</v>
      </c>
    </row>
    <row r="25" spans="1:37">
      <c r="A25">
        <f>'附件3 规划内'!A107</f>
        <v>106</v>
      </c>
      <c r="B25" t="str">
        <f>'附件3 规划内'!B107</f>
        <v>2019年四所楼镇三赵村设施农业大棚奖补项目</v>
      </c>
      <c r="C25" t="str">
        <f>'附件3 规划内'!C107</f>
        <v>乡村振兴</v>
      </c>
      <c r="D25" t="str">
        <f>'附件3 规划内'!D107</f>
        <v>仲舒岗村修复大棚10座棚膜，更换棚膜</v>
      </c>
      <c r="E25">
        <f>'附件3 规划内'!E107</f>
        <v>4.58</v>
      </c>
      <c r="F25">
        <f>'附件3 规划内'!F107</f>
        <v>4.58</v>
      </c>
      <c r="G25">
        <f>'附件3 规划内'!G107</f>
        <v>0</v>
      </c>
      <c r="H25">
        <f>'附件3 规划内'!H107</f>
        <v>0</v>
      </c>
      <c r="I25" t="str">
        <f>'附件3 规划内'!I107</f>
        <v>完工</v>
      </c>
      <c r="J25">
        <f>'附件3 规划内'!J107</f>
        <v>4.58</v>
      </c>
      <c r="K25" t="str">
        <f>'附件3 规划内'!K107</f>
        <v/>
      </c>
      <c r="L25">
        <f>'附件3 规划内'!L107</f>
        <v>0</v>
      </c>
      <c r="M25" s="26">
        <f>'附件3 规划内'!M107</f>
        <v>44409</v>
      </c>
      <c r="N25" s="26">
        <f>'附件3 规划内'!N107</f>
        <v>44500</v>
      </c>
      <c r="O25" t="str">
        <f>'附件3 规划内'!O107</f>
        <v>市乡村振兴局</v>
      </c>
      <c r="P25" t="str">
        <f>'附件3 规划内'!P107</f>
        <v>通许县</v>
      </c>
      <c r="Q25">
        <f>'附件3 规划内'!Q107</f>
        <v>0</v>
      </c>
      <c r="R25">
        <f>'附件3 规划内'!R107</f>
        <v>0</v>
      </c>
      <c r="T25">
        <f>'附件4 规划外'!A83</f>
        <v>93</v>
      </c>
      <c r="U25" t="str">
        <f>'附件4 规划外'!B83</f>
        <v>2018年通许县厉庄乡前柏岗设施农业大棚奖补项目</v>
      </c>
      <c r="V25" t="str">
        <f>'附件4 规划外'!C83</f>
        <v>乡村振兴</v>
      </c>
      <c r="W25" t="str">
        <f>'附件4 规划外'!D83</f>
        <v>5座大棚棚膜受损</v>
      </c>
      <c r="X25">
        <f>'附件4 规划外'!E83</f>
        <v>0.7</v>
      </c>
      <c r="Y25">
        <f>'附件4 规划外'!F83</f>
        <v>0.7</v>
      </c>
      <c r="Z25">
        <f>'附件4 规划外'!G83</f>
        <v>0</v>
      </c>
      <c r="AA25">
        <f>'附件4 规划外'!H83</f>
        <v>0</v>
      </c>
      <c r="AB25" t="str">
        <f>'附件4 规划外'!I83</f>
        <v>完工</v>
      </c>
      <c r="AC25">
        <f>'附件4 规划外'!J83</f>
        <v>0.7</v>
      </c>
      <c r="AD25" t="str">
        <f>'附件4 规划外'!K83</f>
        <v/>
      </c>
      <c r="AE25" t="str">
        <f>'附件4 规划外'!L83</f>
        <v>已完工</v>
      </c>
      <c r="AF25" s="26">
        <f>'附件4 规划外'!M83</f>
        <v>44440</v>
      </c>
      <c r="AG25" s="26">
        <f>'附件4 规划外'!N83</f>
        <v>44531</v>
      </c>
      <c r="AH25" t="str">
        <f>'附件4 规划外'!O83</f>
        <v>市乡村振兴局</v>
      </c>
      <c r="AI25" t="str">
        <f>'附件4 规划外'!P83</f>
        <v>通许县</v>
      </c>
      <c r="AJ25">
        <f>'附件4 规划外'!Q83</f>
        <v>0</v>
      </c>
      <c r="AK25">
        <f>'附件4 规划外'!R83</f>
        <v>0</v>
      </c>
    </row>
    <row r="26" spans="1:37">
      <c r="A26">
        <f>'附件3 规划内'!A108</f>
        <v>107</v>
      </c>
      <c r="B26" t="str">
        <f>'附件3 规划内'!B108</f>
        <v>2018年通许县四所楼镇任寨设施农业大棚奖补项目</v>
      </c>
      <c r="C26" t="str">
        <f>'附件3 规划内'!C108</f>
        <v>乡村振兴</v>
      </c>
      <c r="D26" t="str">
        <f>'附件3 规划内'!D108</f>
        <v>沈公村修复大棚15座棚，更换棚膜</v>
      </c>
      <c r="E26">
        <f>'附件3 规划内'!E108</f>
        <v>5.32</v>
      </c>
      <c r="F26">
        <f>'附件3 规划内'!F108</f>
        <v>5.32</v>
      </c>
      <c r="G26">
        <f>'附件3 规划内'!G108</f>
        <v>0</v>
      </c>
      <c r="H26">
        <f>'附件3 规划内'!H108</f>
        <v>0</v>
      </c>
      <c r="I26" t="str">
        <f>'附件3 规划内'!I108</f>
        <v>完工</v>
      </c>
      <c r="J26">
        <f>'附件3 规划内'!J108</f>
        <v>5.32</v>
      </c>
      <c r="K26" t="str">
        <f>'附件3 规划内'!K108</f>
        <v/>
      </c>
      <c r="L26">
        <f>'附件3 规划内'!L108</f>
        <v>0</v>
      </c>
      <c r="M26" s="26">
        <f>'附件3 规划内'!M108</f>
        <v>44409</v>
      </c>
      <c r="N26" s="26">
        <f>'附件3 规划内'!N108</f>
        <v>44500</v>
      </c>
      <c r="O26" t="str">
        <f>'附件3 规划内'!O108</f>
        <v>市乡村振兴局</v>
      </c>
      <c r="P26" t="str">
        <f>'附件3 规划内'!P108</f>
        <v>通许县</v>
      </c>
      <c r="Q26">
        <f>'附件3 规划内'!Q108</f>
        <v>0</v>
      </c>
      <c r="R26">
        <f>'附件3 规划内'!R108</f>
        <v>0</v>
      </c>
      <c r="T26">
        <f>'附件4 规划外'!A84</f>
        <v>94</v>
      </c>
      <c r="U26" t="str">
        <f>'附件4 规划外'!B84</f>
        <v>2018年练城乡厉大楼村产业园项目</v>
      </c>
      <c r="V26" t="str">
        <f>'附件4 规划外'!C84</f>
        <v>乡村振兴</v>
      </c>
      <c r="W26" t="str">
        <f>'附件4 规划外'!D84</f>
        <v>厉大楼村8座棚内积水墙体受损进行修复</v>
      </c>
      <c r="X26">
        <f>'附件4 规划外'!E84</f>
        <v>0.8</v>
      </c>
      <c r="Y26">
        <f>'附件4 规划外'!F84</f>
        <v>0.8</v>
      </c>
      <c r="Z26">
        <f>'附件4 规划外'!G84</f>
        <v>0</v>
      </c>
      <c r="AA26">
        <f>'附件4 规划外'!H84</f>
        <v>0</v>
      </c>
      <c r="AB26" t="str">
        <f>'附件4 规划外'!I84</f>
        <v>完工</v>
      </c>
      <c r="AC26">
        <f>'附件4 规划外'!J84</f>
        <v>0.8</v>
      </c>
      <c r="AD26" t="str">
        <f>'附件4 规划外'!K84</f>
        <v/>
      </c>
      <c r="AE26" t="str">
        <f>'附件4 规划外'!L84</f>
        <v>已完工</v>
      </c>
      <c r="AF26" s="26">
        <f>'附件4 规划外'!M84</f>
        <v>44440</v>
      </c>
      <c r="AG26" s="26">
        <f>'附件4 规划外'!N84</f>
        <v>44531</v>
      </c>
      <c r="AH26" t="str">
        <f>'附件4 规划外'!O84</f>
        <v>市乡村振兴局</v>
      </c>
      <c r="AI26" t="str">
        <f>'附件4 规划外'!P84</f>
        <v>通许县</v>
      </c>
      <c r="AJ26">
        <f>'附件4 规划外'!Q84</f>
        <v>0</v>
      </c>
      <c r="AK26">
        <f>'附件4 规划外'!R84</f>
        <v>0</v>
      </c>
    </row>
    <row r="27" spans="1:37">
      <c r="A27">
        <f>'附件3 规划内'!A109</f>
        <v>108</v>
      </c>
      <c r="B27" t="str">
        <f>'附件3 规划内'!B109</f>
        <v>2019年通许县四所楼镇仲舒岗村设施农业大棚奖补项目</v>
      </c>
      <c r="C27" t="str">
        <f>'附件3 规划内'!C109</f>
        <v>乡村振兴</v>
      </c>
      <c r="D27" t="str">
        <f>'附件3 规划内'!D109</f>
        <v>11座大棚薄膜更换</v>
      </c>
      <c r="E27">
        <f>'附件3 规划内'!E109</f>
        <v>2.1</v>
      </c>
      <c r="F27">
        <f>'附件3 规划内'!F109</f>
        <v>2.1</v>
      </c>
      <c r="G27">
        <f>'附件3 规划内'!G109</f>
        <v>0</v>
      </c>
      <c r="H27">
        <f>'附件3 规划内'!H109</f>
        <v>0</v>
      </c>
      <c r="I27" t="str">
        <f>'附件3 规划内'!I109</f>
        <v>完工</v>
      </c>
      <c r="J27">
        <f>'附件3 规划内'!J109</f>
        <v>2.1</v>
      </c>
      <c r="K27" t="str">
        <f>'附件3 规划内'!K109</f>
        <v/>
      </c>
      <c r="L27">
        <f>'附件3 规划内'!L109</f>
        <v>0</v>
      </c>
      <c r="M27" s="26">
        <f>'附件3 规划内'!M109</f>
        <v>44409</v>
      </c>
      <c r="N27" s="26">
        <f>'附件3 规划内'!N109</f>
        <v>44500</v>
      </c>
      <c r="O27" t="str">
        <f>'附件3 规划内'!O109</f>
        <v>市乡村振兴局</v>
      </c>
      <c r="P27" t="str">
        <f>'附件3 规划内'!P109</f>
        <v>通许县</v>
      </c>
      <c r="Q27">
        <f>'附件3 规划内'!Q109</f>
        <v>0</v>
      </c>
      <c r="R27">
        <f>'附件3 规划内'!R109</f>
        <v>0</v>
      </c>
      <c r="T27">
        <f>'附件4 规划外'!A85</f>
        <v>95</v>
      </c>
      <c r="U27" t="str">
        <f>'附件4 规划外'!B85</f>
        <v>2020年通许县长智镇东芦氏村红薯育苗基地大棚项目</v>
      </c>
      <c r="V27" t="str">
        <f>'附件4 规划外'!C85</f>
        <v>乡村振兴</v>
      </c>
      <c r="W27" t="str">
        <f>'附件4 规划外'!D85</f>
        <v>1座大棚棚膜修复</v>
      </c>
      <c r="X27">
        <f>'附件4 规划外'!E85</f>
        <v>0.27</v>
      </c>
      <c r="Y27">
        <f>'附件4 规划外'!F85</f>
        <v>0.27</v>
      </c>
      <c r="Z27">
        <f>'附件4 规划外'!G85</f>
        <v>0</v>
      </c>
      <c r="AA27">
        <f>'附件4 规划外'!H85</f>
        <v>0</v>
      </c>
      <c r="AB27" t="str">
        <f>'附件4 规划外'!I85</f>
        <v>完工</v>
      </c>
      <c r="AC27">
        <f>'附件4 规划外'!J85</f>
        <v>0.27</v>
      </c>
      <c r="AD27" t="str">
        <f>'附件4 规划外'!K85</f>
        <v/>
      </c>
      <c r="AE27" t="str">
        <f>'附件4 规划外'!L85</f>
        <v>已完工</v>
      </c>
      <c r="AF27" s="26">
        <f>'附件4 规划外'!M85</f>
        <v>44440</v>
      </c>
      <c r="AG27" s="26">
        <f>'附件4 规划外'!N85</f>
        <v>44531</v>
      </c>
      <c r="AH27" t="str">
        <f>'附件4 规划外'!O85</f>
        <v>市乡村振兴局</v>
      </c>
      <c r="AI27" t="str">
        <f>'附件4 规划外'!P85</f>
        <v>通许县</v>
      </c>
      <c r="AJ27">
        <f>'附件4 规划外'!Q85</f>
        <v>0</v>
      </c>
      <c r="AK27">
        <f>'附件4 规划外'!R85</f>
        <v>0</v>
      </c>
    </row>
    <row r="28" spans="1:37">
      <c r="A28">
        <f>'附件3 规划内'!A110</f>
        <v>109</v>
      </c>
      <c r="B28" t="str">
        <f>'附件3 规划内'!B110</f>
        <v>2019年通许县四所楼镇沈公村设施农业大棚奖补项目</v>
      </c>
      <c r="C28" t="str">
        <f>'附件3 规划内'!C110</f>
        <v>乡村振兴</v>
      </c>
      <c r="D28" t="str">
        <f>'附件3 规划内'!D110</f>
        <v>2座鸭棚压塌修复</v>
      </c>
      <c r="E28">
        <f>'附件3 规划内'!E110</f>
        <v>3.1</v>
      </c>
      <c r="F28">
        <f>'附件3 规划内'!F110</f>
        <v>3.1</v>
      </c>
      <c r="G28">
        <f>'附件3 规划内'!G110</f>
        <v>0</v>
      </c>
      <c r="H28">
        <f>'附件3 规划内'!H110</f>
        <v>0</v>
      </c>
      <c r="I28" t="str">
        <f>'附件3 规划内'!I110</f>
        <v>完工</v>
      </c>
      <c r="J28">
        <f>'附件3 规划内'!J110</f>
        <v>3.1</v>
      </c>
      <c r="K28" t="str">
        <f>'附件3 规划内'!K110</f>
        <v/>
      </c>
      <c r="L28">
        <f>'附件3 规划内'!L110</f>
        <v>0</v>
      </c>
      <c r="M28" s="26">
        <f>'附件3 规划内'!M110</f>
        <v>44409</v>
      </c>
      <c r="N28" s="26">
        <f>'附件3 规划内'!N110</f>
        <v>44500</v>
      </c>
      <c r="O28" t="str">
        <f>'附件3 规划内'!O110</f>
        <v>市乡村振兴局</v>
      </c>
      <c r="P28" t="str">
        <f>'附件3 规划内'!P110</f>
        <v>通许县</v>
      </c>
      <c r="Q28">
        <f>'附件3 规划内'!Q110</f>
        <v>0</v>
      </c>
      <c r="R28">
        <f>'附件3 规划内'!R110</f>
        <v>0</v>
      </c>
      <c r="T28">
        <f>'附件4 规划外'!A86</f>
        <v>96</v>
      </c>
      <c r="U28" t="str">
        <f>'附件4 规划外'!B86</f>
        <v>2018年长智镇三所楼村蔬菜大棚项目</v>
      </c>
      <c r="V28" t="str">
        <f>'附件4 规划外'!C86</f>
        <v>乡村振兴</v>
      </c>
      <c r="W28" t="str">
        <f>'附件4 规划外'!D86</f>
        <v>24座大棚薄膜轻微受损，修复</v>
      </c>
      <c r="X28">
        <f>'附件4 规划外'!E86</f>
        <v>0.72</v>
      </c>
      <c r="Y28">
        <f>'附件4 规划外'!F86</f>
        <v>0.72</v>
      </c>
      <c r="Z28">
        <f>'附件4 规划外'!G86</f>
        <v>0</v>
      </c>
      <c r="AA28">
        <f>'附件4 规划外'!H86</f>
        <v>0</v>
      </c>
      <c r="AB28" t="str">
        <f>'附件4 规划外'!I86</f>
        <v>完工</v>
      </c>
      <c r="AC28">
        <f>'附件4 规划外'!J86</f>
        <v>0.72</v>
      </c>
      <c r="AD28" t="str">
        <f>'附件4 规划外'!K86</f>
        <v/>
      </c>
      <c r="AE28" t="str">
        <f>'附件4 规划外'!L86</f>
        <v>已完工</v>
      </c>
      <c r="AF28" s="26">
        <f>'附件4 规划外'!M86</f>
        <v>44440</v>
      </c>
      <c r="AG28" s="26">
        <f>'附件4 规划外'!N86</f>
        <v>44531</v>
      </c>
      <c r="AH28" t="str">
        <f>'附件4 规划外'!O86</f>
        <v>市乡村振兴局</v>
      </c>
      <c r="AI28" t="str">
        <f>'附件4 规划外'!P86</f>
        <v>通许县</v>
      </c>
      <c r="AJ28">
        <f>'附件4 规划外'!Q86</f>
        <v>0</v>
      </c>
      <c r="AK28">
        <f>'附件4 规划外'!R86</f>
        <v>0</v>
      </c>
    </row>
    <row r="29" spans="1:37">
      <c r="A29">
        <f>'附件3 规划内'!A111</f>
        <v>110</v>
      </c>
      <c r="B29" t="str">
        <f>'附件3 规划内'!B111</f>
        <v>2018年长智镇东芦氏村蔬菜大棚项目</v>
      </c>
      <c r="C29" t="str">
        <f>'附件3 规划内'!C111</f>
        <v>乡村振兴</v>
      </c>
      <c r="D29" t="str">
        <f>'附件3 规划内'!D111</f>
        <v>11座大棚棚膜修复</v>
      </c>
      <c r="E29">
        <f>'附件3 规划内'!E111</f>
        <v>2.53</v>
      </c>
      <c r="F29">
        <f>'附件3 规划内'!F111</f>
        <v>2.53</v>
      </c>
      <c r="G29">
        <f>'附件3 规划内'!G111</f>
        <v>0</v>
      </c>
      <c r="H29">
        <f>'附件3 规划内'!H111</f>
        <v>0</v>
      </c>
      <c r="I29" t="str">
        <f>'附件3 规划内'!I111</f>
        <v>完工</v>
      </c>
      <c r="J29">
        <f>'附件3 规划内'!J111</f>
        <v>2.53</v>
      </c>
      <c r="K29" t="str">
        <f>'附件3 规划内'!K111</f>
        <v/>
      </c>
      <c r="L29">
        <f>'附件3 规划内'!L111</f>
        <v>0</v>
      </c>
      <c r="M29" s="26">
        <f>'附件3 规划内'!M111</f>
        <v>44409</v>
      </c>
      <c r="N29" s="26">
        <f>'附件3 规划内'!N111</f>
        <v>44500</v>
      </c>
      <c r="O29" t="str">
        <f>'附件3 规划内'!O111</f>
        <v>市乡村振兴局</v>
      </c>
      <c r="P29" t="str">
        <f>'附件3 规划内'!P111</f>
        <v>通许县</v>
      </c>
      <c r="Q29">
        <f>'附件3 规划内'!Q111</f>
        <v>0</v>
      </c>
      <c r="R29">
        <f>'附件3 规划内'!R111</f>
        <v>0</v>
      </c>
      <c r="T29">
        <f>'附件4 规划外'!A87</f>
        <v>97</v>
      </c>
      <c r="U29" t="str">
        <f>'附件4 规划外'!B87</f>
        <v>2019年通许县竖岗镇百里池村禾丰肉鸭养殖项目</v>
      </c>
      <c r="V29" t="str">
        <f>'附件4 规划外'!C87</f>
        <v>乡村振兴</v>
      </c>
      <c r="W29" t="str">
        <f>'附件4 规划外'!D87</f>
        <v>机井塌陷、出水浑浊、鸭子无法饮用、线路损坏，进行修复</v>
      </c>
      <c r="X29">
        <f>'附件4 规划外'!E87</f>
        <v>0.8</v>
      </c>
      <c r="Y29">
        <f>'附件4 规划外'!F87</f>
        <v>0.8</v>
      </c>
      <c r="Z29">
        <f>'附件4 规划外'!G87</f>
        <v>0</v>
      </c>
      <c r="AA29">
        <f>'附件4 规划外'!H87</f>
        <v>0</v>
      </c>
      <c r="AB29" t="str">
        <f>'附件4 规划外'!I87</f>
        <v>完工</v>
      </c>
      <c r="AC29">
        <f>'附件4 规划外'!J87</f>
        <v>0.8</v>
      </c>
      <c r="AD29" t="str">
        <f>'附件4 规划外'!K87</f>
        <v/>
      </c>
      <c r="AE29" t="str">
        <f>'附件4 规划外'!L87</f>
        <v>已完工</v>
      </c>
      <c r="AF29" s="26">
        <f>'附件4 规划外'!M87</f>
        <v>44440</v>
      </c>
      <c r="AG29" s="26">
        <f>'附件4 规划外'!N87</f>
        <v>44531</v>
      </c>
      <c r="AH29" t="str">
        <f>'附件4 规划外'!O87</f>
        <v>市乡村振兴局</v>
      </c>
      <c r="AI29" t="str">
        <f>'附件4 规划外'!P87</f>
        <v>通许县</v>
      </c>
      <c r="AJ29">
        <f>'附件4 规划外'!Q87</f>
        <v>0</v>
      </c>
      <c r="AK29">
        <f>'附件4 规划外'!R87</f>
        <v>0</v>
      </c>
    </row>
    <row r="30" spans="1:37">
      <c r="A30">
        <f>'附件3 规划内'!A112</f>
        <v>111</v>
      </c>
      <c r="B30" t="str">
        <f>'附件3 规划内'!B112</f>
        <v>2018年长智镇东芦氏村鸭棚</v>
      </c>
      <c r="C30" t="str">
        <f>'附件3 规划内'!C112</f>
        <v>乡村振兴</v>
      </c>
      <c r="D30" t="str">
        <f>'附件3 规划内'!D112</f>
        <v>5座大棚棚膜修复</v>
      </c>
      <c r="E30">
        <f>'附件3 规划内'!E112</f>
        <v>6</v>
      </c>
      <c r="F30">
        <f>'附件3 规划内'!F112</f>
        <v>6</v>
      </c>
      <c r="G30">
        <f>'附件3 规划内'!G112</f>
        <v>0</v>
      </c>
      <c r="H30">
        <f>'附件3 规划内'!H112</f>
        <v>0</v>
      </c>
      <c r="I30" t="str">
        <f>'附件3 规划内'!I112</f>
        <v>完工</v>
      </c>
      <c r="J30">
        <f>'附件3 规划内'!J112</f>
        <v>6</v>
      </c>
      <c r="K30" t="str">
        <f>'附件3 规划内'!K112</f>
        <v/>
      </c>
      <c r="L30">
        <f>'附件3 规划内'!L112</f>
        <v>0</v>
      </c>
      <c r="M30" s="26">
        <f>'附件3 规划内'!M112</f>
        <v>44409</v>
      </c>
      <c r="N30" s="26">
        <f>'附件3 规划内'!N112</f>
        <v>44500</v>
      </c>
      <c r="O30" t="str">
        <f>'附件3 规划内'!O112</f>
        <v>市乡村振兴局</v>
      </c>
      <c r="P30" t="str">
        <f>'附件3 规划内'!P112</f>
        <v>通许县</v>
      </c>
      <c r="Q30">
        <f>'附件3 规划内'!Q112</f>
        <v>0</v>
      </c>
      <c r="R30">
        <f>'附件3 规划内'!R112</f>
        <v>0</v>
      </c>
      <c r="T30">
        <f>'附件4 规划外'!A88</f>
        <v>98</v>
      </c>
      <c r="U30" t="str">
        <f>'附件4 规划外'!B88</f>
        <v>2019年通许县长智镇东芦氏村设施农业大棚奖补项目</v>
      </c>
      <c r="V30" t="str">
        <f>'附件4 规划外'!C88</f>
        <v>乡村振兴</v>
      </c>
      <c r="W30" t="str">
        <f>'附件4 规划外'!D88</f>
        <v>21座大棚受淹，1座更换薄膜</v>
      </c>
      <c r="X30">
        <f>'附件4 规划外'!E88</f>
        <v>0.14</v>
      </c>
      <c r="Y30">
        <f>'附件4 规划外'!F88</f>
        <v>0.14</v>
      </c>
      <c r="Z30">
        <f>'附件4 规划外'!G88</f>
        <v>0</v>
      </c>
      <c r="AA30">
        <f>'附件4 规划外'!H88</f>
        <v>0</v>
      </c>
      <c r="AB30" t="str">
        <f>'附件4 规划外'!I88</f>
        <v>完工</v>
      </c>
      <c r="AC30">
        <f>'附件4 规划外'!J88</f>
        <v>0.14</v>
      </c>
      <c r="AD30" t="str">
        <f>'附件4 规划外'!K88</f>
        <v/>
      </c>
      <c r="AE30" t="str">
        <f>'附件4 规划外'!L88</f>
        <v>已完工</v>
      </c>
      <c r="AF30" s="26">
        <f>'附件4 规划外'!M88</f>
        <v>44440</v>
      </c>
      <c r="AG30" s="26">
        <f>'附件4 规划外'!N88</f>
        <v>44531</v>
      </c>
      <c r="AH30" t="str">
        <f>'附件4 规划外'!O88</f>
        <v>市乡村振兴局</v>
      </c>
      <c r="AI30" t="str">
        <f>'附件4 规划外'!P88</f>
        <v>通许县</v>
      </c>
      <c r="AJ30">
        <f>'附件4 规划外'!Q88</f>
        <v>0</v>
      </c>
      <c r="AK30">
        <f>'附件4 规划外'!R88</f>
        <v>0</v>
      </c>
    </row>
    <row r="31" spans="1:37">
      <c r="A31">
        <f>'附件3 规划内'!A113</f>
        <v>112</v>
      </c>
      <c r="B31" t="str">
        <f>'附件3 规划内'!B113</f>
        <v>2019年通许县长智镇老王庄村蔬菜大棚项目（深度贫困村项目）</v>
      </c>
      <c r="C31" t="str">
        <f>'附件3 规划内'!C113</f>
        <v>乡村振兴</v>
      </c>
      <c r="D31" t="str">
        <f>'附件3 规划内'!D113</f>
        <v>修复框架下陷的5座冷棚；修复塑料薄膜受损的3座冷棚；修复塑料薄膜受损的13座冷棚。</v>
      </c>
      <c r="E31">
        <f>'附件3 规划内'!E113</f>
        <v>6</v>
      </c>
      <c r="F31">
        <f>'附件3 规划内'!F113</f>
        <v>6</v>
      </c>
      <c r="G31">
        <f>'附件3 规划内'!G113</f>
        <v>0</v>
      </c>
      <c r="H31">
        <f>'附件3 规划内'!H113</f>
        <v>0</v>
      </c>
      <c r="I31" t="str">
        <f>'附件3 规划内'!I113</f>
        <v>完工</v>
      </c>
      <c r="J31">
        <f>'附件3 规划内'!J113</f>
        <v>6</v>
      </c>
      <c r="K31" t="str">
        <f>'附件3 规划内'!K113</f>
        <v/>
      </c>
      <c r="L31">
        <f>'附件3 规划内'!L113</f>
        <v>0</v>
      </c>
      <c r="M31" s="26">
        <f>'附件3 规划内'!M113</f>
        <v>44409</v>
      </c>
      <c r="N31" s="26">
        <f>'附件3 规划内'!N113</f>
        <v>44500</v>
      </c>
      <c r="O31" t="str">
        <f>'附件3 规划内'!O113</f>
        <v>市乡村振兴局</v>
      </c>
      <c r="P31" t="str">
        <f>'附件3 规划内'!P113</f>
        <v>通许县</v>
      </c>
      <c r="Q31">
        <f>'附件3 规划内'!Q113</f>
        <v>0</v>
      </c>
      <c r="R31">
        <f>'附件3 规划内'!R113</f>
        <v>0</v>
      </c>
      <c r="T31">
        <f>'附件4 规划外'!A89</f>
        <v>99</v>
      </c>
      <c r="U31" t="str">
        <f>'附件4 规划外'!B89</f>
        <v>2019年通许县厉庄乡马庄设施农业大棚奖补项目</v>
      </c>
      <c r="V31" t="str">
        <f>'附件4 规划外'!C89</f>
        <v>乡村振兴</v>
      </c>
      <c r="W31" t="str">
        <f>'附件4 规划外'!D89</f>
        <v>大棚受损5座棚膜受损</v>
      </c>
      <c r="X31">
        <f>'附件4 规划外'!E89</f>
        <v>0.7</v>
      </c>
      <c r="Y31">
        <f>'附件4 规划外'!F89</f>
        <v>0.7</v>
      </c>
      <c r="Z31">
        <f>'附件4 规划外'!G89</f>
        <v>0</v>
      </c>
      <c r="AA31">
        <f>'附件4 规划外'!H89</f>
        <v>0</v>
      </c>
      <c r="AB31" t="str">
        <f>'附件4 规划外'!I89</f>
        <v>完工</v>
      </c>
      <c r="AC31">
        <f>'附件4 规划外'!J89</f>
        <v>0.7</v>
      </c>
      <c r="AD31" t="str">
        <f>'附件4 规划外'!K89</f>
        <v/>
      </c>
      <c r="AE31" t="str">
        <f>'附件4 规划外'!L89</f>
        <v>已完工</v>
      </c>
      <c r="AF31" s="26">
        <f>'附件4 规划外'!M89</f>
        <v>44440</v>
      </c>
      <c r="AG31" s="26">
        <f>'附件4 规划外'!N89</f>
        <v>44531</v>
      </c>
      <c r="AH31" t="str">
        <f>'附件4 规划外'!O89</f>
        <v>市乡村振兴局</v>
      </c>
      <c r="AI31" t="str">
        <f>'附件4 规划外'!P89</f>
        <v>通许县</v>
      </c>
      <c r="AJ31">
        <f>'附件4 规划外'!Q89</f>
        <v>0</v>
      </c>
      <c r="AK31">
        <f>'附件4 规划外'!R89</f>
        <v>0</v>
      </c>
    </row>
    <row r="32" spans="1:37">
      <c r="A32">
        <f>'附件3 规划内'!A114</f>
        <v>113</v>
      </c>
      <c r="B32" t="str">
        <f>'附件3 规划内'!B114</f>
        <v>2018年长智镇老王庄村深度贫困村蔬菜大棚项目</v>
      </c>
      <c r="C32" t="str">
        <f>'附件3 规划内'!C114</f>
        <v>乡村振兴</v>
      </c>
      <c r="D32" t="str">
        <f>'附件3 规划内'!D114</f>
        <v>厉大楼村15座冷棚，9个占地3亩，6个占地2.5亩，因汛情影响，塑料薄膜已全部损毁，需重新覆盖维修。</v>
      </c>
      <c r="E32">
        <f>'附件3 规划内'!E114</f>
        <v>7.2</v>
      </c>
      <c r="F32">
        <f>'附件3 规划内'!F114</f>
        <v>7.2</v>
      </c>
      <c r="G32">
        <f>'附件3 规划内'!G114</f>
        <v>0</v>
      </c>
      <c r="H32">
        <f>'附件3 规划内'!H114</f>
        <v>0</v>
      </c>
      <c r="I32" t="str">
        <f>'附件3 规划内'!I114</f>
        <v>完工</v>
      </c>
      <c r="J32">
        <f>'附件3 规划内'!J114</f>
        <v>7.2</v>
      </c>
      <c r="K32" t="str">
        <f>'附件3 规划内'!K114</f>
        <v/>
      </c>
      <c r="L32">
        <f>'附件3 规划内'!L114</f>
        <v>0</v>
      </c>
      <c r="M32" s="26">
        <f>'附件3 规划内'!M114</f>
        <v>44409</v>
      </c>
      <c r="N32" s="26">
        <f>'附件3 规划内'!N114</f>
        <v>44500</v>
      </c>
      <c r="O32" t="str">
        <f>'附件3 规划内'!O114</f>
        <v>市乡村振兴局</v>
      </c>
      <c r="P32" t="str">
        <f>'附件3 规划内'!P114</f>
        <v>通许县</v>
      </c>
      <c r="Q32">
        <f>'附件3 规划内'!Q114</f>
        <v>0</v>
      </c>
      <c r="R32">
        <f>'附件3 规划内'!R114</f>
        <v>0</v>
      </c>
      <c r="T32">
        <f>'附件4 规划外'!A90</f>
        <v>100</v>
      </c>
      <c r="U32" t="str">
        <f>'附件4 规划外'!B90</f>
        <v>2018年通许县四所楼镇前罗村设施农业大棚奖补项目</v>
      </c>
      <c r="V32" t="str">
        <f>'附件4 规划外'!C90</f>
        <v>乡村振兴</v>
      </c>
      <c r="W32" t="str">
        <f>'附件4 规划外'!D90</f>
        <v>修复大棚25座</v>
      </c>
      <c r="X32">
        <f>'附件4 规划外'!E90</f>
        <v>1.5</v>
      </c>
      <c r="Y32">
        <f>'附件4 规划外'!F90</f>
        <v>1.5</v>
      </c>
      <c r="Z32">
        <f>'附件4 规划外'!G90</f>
        <v>0</v>
      </c>
      <c r="AA32">
        <f>'附件4 规划外'!H90</f>
        <v>0</v>
      </c>
      <c r="AB32" t="str">
        <f>'附件4 规划外'!I90</f>
        <v>完工</v>
      </c>
      <c r="AC32">
        <f>'附件4 规划外'!J90</f>
        <v>1.5</v>
      </c>
      <c r="AD32" t="str">
        <f>'附件4 规划外'!K90</f>
        <v/>
      </c>
      <c r="AE32" t="str">
        <f>'附件4 规划外'!L90</f>
        <v>已完工</v>
      </c>
      <c r="AF32" s="26">
        <f>'附件4 规划外'!M90</f>
        <v>44440</v>
      </c>
      <c r="AG32" s="26">
        <f>'附件4 规划外'!N90</f>
        <v>44531</v>
      </c>
      <c r="AH32" t="str">
        <f>'附件4 规划外'!O90</f>
        <v>市乡村振兴局</v>
      </c>
      <c r="AI32" t="str">
        <f>'附件4 规划外'!P90</f>
        <v>通许县</v>
      </c>
      <c r="AJ32">
        <f>'附件4 规划外'!Q90</f>
        <v>0</v>
      </c>
      <c r="AK32">
        <f>'附件4 规划外'!R90</f>
        <v>0</v>
      </c>
    </row>
    <row r="33" spans="1:37">
      <c r="A33">
        <f>'附件3 规划内'!A115</f>
        <v>114</v>
      </c>
      <c r="B33" t="str">
        <f>'附件3 规划内'!B115</f>
        <v>2020年通许县练城乡拐王村扶贫产业园大棚建设项目</v>
      </c>
      <c r="C33" t="str">
        <f>'附件3 规划内'!C115</f>
        <v>乡村振兴</v>
      </c>
      <c r="D33" t="str">
        <f>'附件3 规划内'!D115</f>
        <v>彪岗村8座大棚，每座占地2亩，防风卷帘严重损毁，需要修复。</v>
      </c>
      <c r="E33">
        <f>'附件3 规划内'!E115</f>
        <v>1.95</v>
      </c>
      <c r="F33">
        <f>'附件3 规划内'!F115</f>
        <v>1.95</v>
      </c>
      <c r="G33">
        <f>'附件3 规划内'!G115</f>
        <v>0</v>
      </c>
      <c r="H33">
        <f>'附件3 规划内'!H115</f>
        <v>0</v>
      </c>
      <c r="I33" t="str">
        <f>'附件3 规划内'!I115</f>
        <v>完工</v>
      </c>
      <c r="J33">
        <f>'附件3 规划内'!J115</f>
        <v>1.95</v>
      </c>
      <c r="K33" t="str">
        <f>'附件3 规划内'!K115</f>
        <v/>
      </c>
      <c r="L33">
        <f>'附件3 规划内'!L115</f>
        <v>0</v>
      </c>
      <c r="M33" s="26">
        <f>'附件3 规划内'!M115</f>
        <v>44409</v>
      </c>
      <c r="N33" s="26">
        <f>'附件3 规划内'!N115</f>
        <v>44500</v>
      </c>
      <c r="O33" t="str">
        <f>'附件3 规划内'!O115</f>
        <v>市乡村振兴局</v>
      </c>
      <c r="P33" t="str">
        <f>'附件3 规划内'!P115</f>
        <v>通许县</v>
      </c>
      <c r="Q33">
        <f>'附件3 规划内'!Q115</f>
        <v>0</v>
      </c>
      <c r="R33">
        <f>'附件3 规划内'!R115</f>
        <v>0</v>
      </c>
      <c r="T33">
        <f>'附件4 规划外'!A93</f>
        <v>103</v>
      </c>
      <c r="U33" t="str">
        <f>'附件4 规划外'!B93</f>
        <v>通许县殡仪馆灾后修缮工程</v>
      </c>
      <c r="V33" t="str">
        <f>'附件4 规划外'!C93</f>
        <v>民政</v>
      </c>
      <c r="W33" t="str">
        <f>'附件4 规划外'!D93</f>
        <v>修复院墙、地基、修缮房屋漏水、门窗。</v>
      </c>
      <c r="X33">
        <f>'附件4 规划外'!E93</f>
        <v>67</v>
      </c>
      <c r="Y33">
        <f>'附件4 规划外'!F93</f>
        <v>67</v>
      </c>
      <c r="Z33">
        <f>'附件4 规划外'!G93</f>
        <v>0</v>
      </c>
      <c r="AA33">
        <f>'附件4 规划外'!H93</f>
        <v>0</v>
      </c>
      <c r="AB33" t="str">
        <f>'附件4 规划外'!I93</f>
        <v>完工</v>
      </c>
      <c r="AC33">
        <f>'附件4 规划外'!J93</f>
        <v>67</v>
      </c>
      <c r="AD33" t="str">
        <f>'附件4 规划外'!K93</f>
        <v/>
      </c>
      <c r="AE33" t="str">
        <f>'附件4 规划外'!L93</f>
        <v>已完工</v>
      </c>
      <c r="AF33" s="26">
        <f>'附件4 规划外'!M93</f>
        <v>44440</v>
      </c>
      <c r="AG33" s="26">
        <f>'附件4 规划外'!N93</f>
        <v>44501</v>
      </c>
      <c r="AH33" t="str">
        <f>'附件4 规划外'!O93</f>
        <v>市民政局</v>
      </c>
      <c r="AI33" t="str">
        <f>'附件4 规划外'!P93</f>
        <v>通许县</v>
      </c>
      <c r="AJ33">
        <f>'附件4 规划外'!Q93</f>
        <v>0</v>
      </c>
      <c r="AK33">
        <f>'附件4 规划外'!R93</f>
        <v>0</v>
      </c>
    </row>
    <row r="34" spans="1:37">
      <c r="A34">
        <f>'附件3 规划内'!A116</f>
        <v>115</v>
      </c>
      <c r="B34" t="str">
        <f>'附件3 规划内'!B116</f>
        <v>2019年练城乡厉大楼村产业奖补大棚</v>
      </c>
      <c r="C34" t="str">
        <f>'附件3 规划内'!C116</f>
        <v>乡村振兴</v>
      </c>
      <c r="D34" t="str">
        <f>'附件3 规划内'!D116</f>
        <v>77座大棚棚膜修复、大棚门更换25个</v>
      </c>
      <c r="E34">
        <f>'附件3 规划内'!E116</f>
        <v>9.5</v>
      </c>
      <c r="F34">
        <f>'附件3 规划内'!F116</f>
        <v>9.5</v>
      </c>
      <c r="G34">
        <f>'附件3 规划内'!G116</f>
        <v>0</v>
      </c>
      <c r="H34">
        <f>'附件3 规划内'!H116</f>
        <v>0</v>
      </c>
      <c r="I34" t="str">
        <f>'附件3 规划内'!I116</f>
        <v>完工</v>
      </c>
      <c r="J34">
        <f>'附件3 规划内'!J116</f>
        <v>9.5</v>
      </c>
      <c r="K34" t="str">
        <f>'附件3 规划内'!K116</f>
        <v/>
      </c>
      <c r="L34">
        <f>'附件3 规划内'!L116</f>
        <v>0</v>
      </c>
      <c r="M34" s="26">
        <f>'附件3 规划内'!M116</f>
        <v>44409</v>
      </c>
      <c r="N34" s="26">
        <f>'附件3 规划内'!N116</f>
        <v>44500</v>
      </c>
      <c r="O34" t="str">
        <f>'附件3 规划内'!O116</f>
        <v>市乡村振兴局</v>
      </c>
      <c r="P34" t="str">
        <f>'附件3 规划内'!P116</f>
        <v>通许县</v>
      </c>
      <c r="Q34">
        <f>'附件3 规划内'!Q116</f>
        <v>0</v>
      </c>
      <c r="R34">
        <f>'附件3 规划内'!R116</f>
        <v>0</v>
      </c>
      <c r="T34">
        <f>'附件4 规划外'!A115</f>
        <v>128</v>
      </c>
      <c r="U34" t="str">
        <f>'附件4 规划外'!B115</f>
        <v>通许县树木受灾修复重建项目</v>
      </c>
      <c r="V34" t="str">
        <f>'附件4 规划外'!C115</f>
        <v>林业</v>
      </c>
      <c r="W34" t="str">
        <f>'附件4 规划外'!D115</f>
        <v>补植1600亩</v>
      </c>
      <c r="X34">
        <f>'附件4 规划外'!E115</f>
        <v>800</v>
      </c>
      <c r="Y34">
        <f>'附件4 规划外'!F115</f>
        <v>665</v>
      </c>
      <c r="Z34">
        <f>'附件4 规划外'!G115</f>
        <v>135</v>
      </c>
      <c r="AA34">
        <f>'附件4 规划外'!H115</f>
        <v>0</v>
      </c>
      <c r="AB34" t="str">
        <f>'附件4 规划外'!I115</f>
        <v>完工</v>
      </c>
      <c r="AC34">
        <f>'附件4 规划外'!J115</f>
        <v>800</v>
      </c>
      <c r="AD34">
        <f>'附件4 规划外'!K115</f>
        <v>135</v>
      </c>
      <c r="AE34" t="str">
        <f>'附件4 规划外'!L115</f>
        <v>已完成</v>
      </c>
      <c r="AF34" s="26">
        <f>'附件4 规划外'!M115</f>
        <v>44501</v>
      </c>
      <c r="AG34" s="26">
        <f>'附件4 规划外'!N115</f>
        <v>44651</v>
      </c>
      <c r="AH34" t="str">
        <f>'附件4 规划外'!O115</f>
        <v>市林业局</v>
      </c>
      <c r="AI34" t="str">
        <f>'附件4 规划外'!P115</f>
        <v>通许县</v>
      </c>
      <c r="AJ34">
        <f>'附件4 规划外'!Q115</f>
        <v>0</v>
      </c>
      <c r="AK34">
        <f>'附件4 规划外'!R115</f>
        <v>0</v>
      </c>
    </row>
    <row r="35" spans="1:37">
      <c r="A35">
        <f>'附件3 规划内'!A117</f>
        <v>116</v>
      </c>
      <c r="B35" t="str">
        <f>'附件3 规划内'!B117</f>
        <v>2019年练城乡彪岗村产业奖补大棚</v>
      </c>
      <c r="C35" t="str">
        <f>'附件3 规划内'!C117</f>
        <v>乡村振兴</v>
      </c>
      <c r="D35" t="str">
        <f>'附件3 规划内'!D117</f>
        <v>3座大棚棚膜修复、1座大棚骨架，30座大棚棚门</v>
      </c>
      <c r="E35">
        <f>'附件3 规划内'!E117</f>
        <v>1.2</v>
      </c>
      <c r="F35">
        <f>'附件3 规划内'!F117</f>
        <v>1.2</v>
      </c>
      <c r="G35">
        <f>'附件3 规划内'!G117</f>
        <v>0</v>
      </c>
      <c r="H35">
        <f>'附件3 规划内'!H117</f>
        <v>0</v>
      </c>
      <c r="I35" t="str">
        <f>'附件3 规划内'!I117</f>
        <v>完工</v>
      </c>
      <c r="J35">
        <f>'附件3 规划内'!J117</f>
        <v>1.2</v>
      </c>
      <c r="K35" t="str">
        <f>'附件3 规划内'!K117</f>
        <v/>
      </c>
      <c r="L35">
        <f>'附件3 规划内'!L117</f>
        <v>0</v>
      </c>
      <c r="M35" s="26">
        <f>'附件3 规划内'!M117</f>
        <v>44409</v>
      </c>
      <c r="N35" s="26">
        <f>'附件3 规划内'!N117</f>
        <v>44500</v>
      </c>
      <c r="O35" t="str">
        <f>'附件3 规划内'!O117</f>
        <v>市乡村振兴局</v>
      </c>
      <c r="P35" t="str">
        <f>'附件3 规划内'!P117</f>
        <v>通许县</v>
      </c>
      <c r="Q35">
        <f>'附件3 规划内'!Q117</f>
        <v>0</v>
      </c>
      <c r="R35">
        <f>'附件3 规划内'!R117</f>
        <v>0</v>
      </c>
      <c r="T35">
        <f>'附件4 规划外'!A116</f>
        <v>129</v>
      </c>
      <c r="U35" t="str">
        <f>'附件4 规划外'!B116</f>
        <v>通许县城区绿地及林区基础设施修复重建</v>
      </c>
      <c r="V35" t="str">
        <f>'附件4 规划外'!C116</f>
        <v>林业</v>
      </c>
      <c r="W35" t="str">
        <f>'附件4 规划外'!D116</f>
        <v>院墙、屋顶路面修复重建</v>
      </c>
      <c r="X35">
        <f>'附件4 规划外'!E116</f>
        <v>80</v>
      </c>
      <c r="Y35">
        <f>'附件4 规划外'!F116</f>
        <v>80</v>
      </c>
      <c r="Z35">
        <f>'附件4 规划外'!G116</f>
        <v>0</v>
      </c>
      <c r="AA35">
        <f>'附件4 规划外'!H116</f>
        <v>0</v>
      </c>
      <c r="AB35" t="str">
        <f>'附件4 规划外'!I116</f>
        <v>完工</v>
      </c>
      <c r="AC35">
        <f>'附件4 规划外'!J116</f>
        <v>80</v>
      </c>
      <c r="AD35" t="str">
        <f>'附件4 规划外'!K116</f>
        <v/>
      </c>
      <c r="AE35" t="str">
        <f>'附件4 规划外'!L116</f>
        <v>已完成</v>
      </c>
      <c r="AF35" s="26">
        <f>'附件4 规划外'!M116</f>
        <v>44440</v>
      </c>
      <c r="AG35" s="26">
        <f>'附件4 规划外'!N116</f>
        <v>44561</v>
      </c>
      <c r="AH35" t="str">
        <f>'附件4 规划外'!O116</f>
        <v>市林业局</v>
      </c>
      <c r="AI35" t="str">
        <f>'附件4 规划外'!P116</f>
        <v>通许县</v>
      </c>
      <c r="AJ35">
        <f>'附件4 规划外'!Q116</f>
        <v>0</v>
      </c>
      <c r="AK35">
        <f>'附件4 规划外'!R116</f>
        <v>0</v>
      </c>
    </row>
    <row r="36" spans="1:37">
      <c r="A36">
        <f>'附件3 规划内'!A118</f>
        <v>117</v>
      </c>
      <c r="B36" t="str">
        <f>'附件3 规划内'!B118</f>
        <v>2018年朱砂镇斗厢村设施农业大棚奖补项目</v>
      </c>
      <c r="C36" t="str">
        <f>'附件3 规划内'!C118</f>
        <v>乡村振兴</v>
      </c>
      <c r="D36" t="str">
        <f>'附件3 规划内'!D118</f>
        <v>9座半冬暖大棚棚膜、棚体修复</v>
      </c>
      <c r="E36">
        <f>'附件3 规划内'!E118</f>
        <v>44.76</v>
      </c>
      <c r="F36">
        <f>'附件3 规划内'!F118</f>
        <v>44.76</v>
      </c>
      <c r="G36">
        <f>'附件3 规划内'!G118</f>
        <v>0</v>
      </c>
      <c r="H36">
        <f>'附件3 规划内'!H118</f>
        <v>0</v>
      </c>
      <c r="I36" t="str">
        <f>'附件3 规划内'!I118</f>
        <v>完工</v>
      </c>
      <c r="J36">
        <f>'附件3 规划内'!J118</f>
        <v>44.76</v>
      </c>
      <c r="K36" t="str">
        <f>'附件3 规划内'!K118</f>
        <v/>
      </c>
      <c r="L36">
        <f>'附件3 规划内'!L118</f>
        <v>0</v>
      </c>
      <c r="M36" s="26">
        <f>'附件3 规划内'!M118</f>
        <v>44409</v>
      </c>
      <c r="N36" s="26">
        <f>'附件3 规划内'!N118</f>
        <v>44500</v>
      </c>
      <c r="O36" t="str">
        <f>'附件3 规划内'!O118</f>
        <v>市乡村振兴局</v>
      </c>
      <c r="P36" t="str">
        <f>'附件3 规划内'!P118</f>
        <v>通许县</v>
      </c>
      <c r="Q36">
        <f>'附件3 规划内'!Q118</f>
        <v>0</v>
      </c>
      <c r="R36">
        <f>'附件3 规划内'!R118</f>
        <v>0</v>
      </c>
      <c r="T36">
        <f>'附件4 规划外'!A200</f>
        <v>213</v>
      </c>
      <c r="U36" t="str">
        <f>'附件4 规划外'!B200</f>
        <v>通许县小清河治理工程(乔寨桥至开通县界)</v>
      </c>
      <c r="V36" t="str">
        <f>'附件4 规划外'!C200</f>
        <v>其他</v>
      </c>
      <c r="W36" t="str">
        <f>'附件4 规划外'!D200</f>
        <v>本次治理范围为桩号小清河开通县界（28+285）～乔寨桥（35+280），治理河段清表、两岸岸坡整修共6.995km，修筑右岸混凝土防汛路6.642km，重建跨河桥梁5座，重建沿河两岸灌排两用涵闸10座。</v>
      </c>
      <c r="X36">
        <f>'附件4 规划外'!E200</f>
        <v>1885.01</v>
      </c>
      <c r="Y36">
        <f>'附件4 规划外'!F200</f>
        <v>0</v>
      </c>
      <c r="Z36">
        <f>'附件4 规划外'!G200</f>
        <v>1508</v>
      </c>
      <c r="AA36">
        <f>'附件4 规划外'!H200</f>
        <v>0</v>
      </c>
      <c r="AB36" t="str">
        <f>'附件4 规划外'!I200</f>
        <v>在建</v>
      </c>
      <c r="AC36">
        <f>'附件4 规划外'!J200</f>
        <v>1495</v>
      </c>
      <c r="AD36">
        <f>'附件4 规划外'!K200</f>
        <v>1495</v>
      </c>
      <c r="AE36">
        <f>'附件4 规划外'!L200</f>
        <v>0</v>
      </c>
      <c r="AF36">
        <f>'附件4 规划外'!M200</f>
        <v>44652</v>
      </c>
      <c r="AG36">
        <f>'附件4 规划外'!N200</f>
        <v>44896</v>
      </c>
      <c r="AH36" t="str">
        <f>'附件4 规划外'!O200</f>
        <v>市水利局</v>
      </c>
      <c r="AI36" t="str">
        <f>'附件4 规划外'!P200</f>
        <v>通许县</v>
      </c>
      <c r="AJ36">
        <f>'附件4 规划外'!Q200</f>
        <v>0</v>
      </c>
      <c r="AK36">
        <f>'附件4 规划外'!R200</f>
        <v>0</v>
      </c>
    </row>
    <row r="37" spans="1:37">
      <c r="A37">
        <f>'附件3 规划内'!A119</f>
        <v>118</v>
      </c>
      <c r="B37" t="str">
        <f>'附件3 规划内'!B119</f>
        <v>2018年大岗李乡浦口村产业大棚项目</v>
      </c>
      <c r="C37" t="str">
        <f>'附件3 规划内'!C119</f>
        <v>乡村振兴</v>
      </c>
      <c r="D37" t="str">
        <f>'附件3 规划内'!D119</f>
        <v>仲庄村5座冷棚，每座占地09亩，塑料薄膜已全部损毁，需重新覆盖维修:其中3座大棚骨架需进行维修。</v>
      </c>
      <c r="E37">
        <f>'附件3 规划内'!E119</f>
        <v>0.82</v>
      </c>
      <c r="F37">
        <f>'附件3 规划内'!F119</f>
        <v>0.82</v>
      </c>
      <c r="G37">
        <f>'附件3 规划内'!G119</f>
        <v>0</v>
      </c>
      <c r="H37">
        <f>'附件3 规划内'!H119</f>
        <v>0</v>
      </c>
      <c r="I37" t="str">
        <f>'附件3 规划内'!I119</f>
        <v>完工</v>
      </c>
      <c r="J37">
        <f>'附件3 规划内'!J119</f>
        <v>0.82</v>
      </c>
      <c r="K37" t="str">
        <f>'附件3 规划内'!K119</f>
        <v/>
      </c>
      <c r="L37">
        <f>'附件3 规划内'!L119</f>
        <v>0</v>
      </c>
      <c r="M37" s="26">
        <f>'附件3 规划内'!M119</f>
        <v>44409</v>
      </c>
      <c r="N37" s="26">
        <f>'附件3 规划内'!N119</f>
        <v>44500</v>
      </c>
      <c r="O37" t="str">
        <f>'附件3 规划内'!O119</f>
        <v>市乡村振兴局</v>
      </c>
      <c r="P37" t="str">
        <f>'附件3 规划内'!P119</f>
        <v>通许县</v>
      </c>
      <c r="Q37">
        <f>'附件3 规划内'!Q119</f>
        <v>0</v>
      </c>
      <c r="R37">
        <f>'附件3 规划内'!R119</f>
        <v>0</v>
      </c>
      <c r="T37">
        <f>'附件4 规划外'!A201</f>
        <v>214</v>
      </c>
      <c r="U37" t="str">
        <f>'附件4 规划外'!B201</f>
        <v>通许县铁底河(陈嘉至木台庄段)治理工程</v>
      </c>
      <c r="V37" t="str">
        <f>'附件4 规划外'!C201</f>
        <v>其他</v>
      </c>
      <c r="W37" t="str">
        <f>'附件4 规划外'!D201</f>
        <v>河道清淤约 5.79km、堤防修筑 4.664km、重建拦河闸1座，新 建排涝涵闸10座，重建跨河桥梁1座等。</v>
      </c>
      <c r="X37">
        <f>'附件4 规划外'!E201</f>
        <v>2355.47</v>
      </c>
      <c r="Y37">
        <f>'附件4 规划外'!F201</f>
        <v>0</v>
      </c>
      <c r="Z37">
        <f>'附件4 规划外'!G201</f>
        <v>1884</v>
      </c>
      <c r="AA37">
        <f>'附件4 规划外'!H201</f>
        <v>0</v>
      </c>
      <c r="AB37" t="str">
        <f>'附件4 规划外'!I201</f>
        <v>在建</v>
      </c>
      <c r="AC37">
        <f>'附件4 规划外'!J201</f>
        <v>1721</v>
      </c>
      <c r="AD37">
        <f>'附件4 规划外'!K201</f>
        <v>1721</v>
      </c>
      <c r="AE37">
        <f>'附件4 规划外'!L201</f>
        <v>0</v>
      </c>
      <c r="AF37">
        <f>'附件4 规划外'!M201</f>
        <v>44652</v>
      </c>
      <c r="AG37">
        <f>'附件4 规划外'!N201</f>
        <v>44896</v>
      </c>
      <c r="AH37" t="str">
        <f>'附件4 规划外'!O201</f>
        <v>市水利局</v>
      </c>
      <c r="AI37" t="str">
        <f>'附件4 规划外'!P201</f>
        <v>通许县</v>
      </c>
      <c r="AJ37">
        <f>'附件4 规划外'!Q201</f>
        <v>0</v>
      </c>
      <c r="AK37">
        <f>'附件4 规划外'!R201</f>
        <v>0</v>
      </c>
    </row>
    <row r="38" spans="1:37">
      <c r="A38">
        <f>'附件3 规划内'!A120</f>
        <v>119</v>
      </c>
      <c r="B38" t="str">
        <f>'附件3 规划内'!B120</f>
        <v>2019年玉皇庙镇阜牛岗设施农业奖补大棚项目</v>
      </c>
      <c r="C38" t="str">
        <f>'附件3 规划内'!C120</f>
        <v>乡村振兴</v>
      </c>
      <c r="D38" t="str">
        <f>'附件3 规划内'!D120</f>
        <v>东时村6座冷棚因汛情影响，其中2座大棚薄膜需要进行修复，4座大棚薄膜需重新覆盖维修。</v>
      </c>
      <c r="E38">
        <f>'附件3 规划内'!E120</f>
        <v>9</v>
      </c>
      <c r="F38">
        <f>'附件3 规划内'!F120</f>
        <v>9</v>
      </c>
      <c r="G38">
        <f>'附件3 规划内'!G120</f>
        <v>0</v>
      </c>
      <c r="H38">
        <f>'附件3 规划内'!H120</f>
        <v>0</v>
      </c>
      <c r="I38" t="str">
        <f>'附件3 规划内'!I120</f>
        <v>完工</v>
      </c>
      <c r="J38">
        <f>'附件3 规划内'!J120</f>
        <v>9</v>
      </c>
      <c r="K38" t="str">
        <f>'附件3 规划内'!K120</f>
        <v/>
      </c>
      <c r="L38">
        <f>'附件3 规划内'!L120</f>
        <v>0</v>
      </c>
      <c r="M38" s="26">
        <f>'附件3 规划内'!M120</f>
        <v>44409</v>
      </c>
      <c r="N38" s="26">
        <f>'附件3 规划内'!N120</f>
        <v>44561</v>
      </c>
      <c r="O38" t="str">
        <f>'附件3 规划内'!O120</f>
        <v>市乡村振兴局</v>
      </c>
      <c r="P38" t="str">
        <f>'附件3 规划内'!P120</f>
        <v>通许县</v>
      </c>
      <c r="Q38">
        <f>'附件3 规划内'!Q120</f>
        <v>0</v>
      </c>
      <c r="R38">
        <f>'附件3 规划内'!R120</f>
        <v>0</v>
      </c>
      <c r="T38">
        <f>'附件4 规划外'!A205</f>
        <v>218</v>
      </c>
      <c r="U38" t="str">
        <f>'附件4 规划外'!B205</f>
        <v>通许县水资源节约管理与保护</v>
      </c>
      <c r="V38" t="str">
        <f>'附件4 规划外'!C205</f>
        <v>其他</v>
      </c>
      <c r="W38" t="str">
        <f>'附件4 规划外'!D205</f>
        <v>规模以上取水在线计量设施新建或改建</v>
      </c>
      <c r="X38">
        <f>'附件4 规划外'!E205</f>
        <v>26</v>
      </c>
      <c r="Y38">
        <f>'附件4 规划外'!F205</f>
        <v>0</v>
      </c>
      <c r="Z38">
        <f>'附件4 规划外'!G205</f>
        <v>26</v>
      </c>
      <c r="AA38">
        <f>'附件4 规划外'!H205</f>
        <v>0</v>
      </c>
      <c r="AB38" t="str">
        <f>'附件4 规划外'!I205</f>
        <v>完工</v>
      </c>
      <c r="AC38">
        <f>'附件4 规划外'!J205</f>
        <v>26</v>
      </c>
      <c r="AD38">
        <f>'附件4 规划外'!K205</f>
        <v>26</v>
      </c>
      <c r="AE38">
        <f>'附件4 规划外'!L205</f>
        <v>0</v>
      </c>
      <c r="AF38">
        <f>'附件4 规划外'!M205</f>
        <v>44682</v>
      </c>
      <c r="AG38">
        <f>'附件4 规划外'!N205</f>
        <v>44713</v>
      </c>
      <c r="AH38" t="str">
        <f>'附件4 规划外'!O205</f>
        <v>市水利局</v>
      </c>
      <c r="AI38" t="str">
        <f>'附件4 规划外'!P205</f>
        <v>通许县</v>
      </c>
      <c r="AJ38">
        <f>'附件4 规划外'!Q205</f>
        <v>0</v>
      </c>
      <c r="AK38">
        <f>'附件4 规划外'!R205</f>
        <v>0</v>
      </c>
    </row>
    <row r="39" spans="1:37">
      <c r="A39">
        <f>'附件3 规划内'!A121</f>
        <v>120</v>
      </c>
      <c r="B39" t="str">
        <f>'附件3 规划内'!B121</f>
        <v>2019年邸阁乡仲庄村设施农业奖补大棚项目</v>
      </c>
      <c r="C39" t="str">
        <f>'附件3 规划内'!C121</f>
        <v>乡村振兴</v>
      </c>
      <c r="D39" t="str">
        <f>'附件3 规划内'!D121</f>
        <v>6座大棚棚膜修复，更换棚膜</v>
      </c>
      <c r="E39">
        <f>'附件3 规划内'!E121</f>
        <v>1</v>
      </c>
      <c r="F39">
        <f>'附件3 规划内'!F121</f>
        <v>1</v>
      </c>
      <c r="G39">
        <f>'附件3 规划内'!G121</f>
        <v>0</v>
      </c>
      <c r="H39">
        <f>'附件3 规划内'!H121</f>
        <v>0</v>
      </c>
      <c r="I39" t="str">
        <f>'附件3 规划内'!I121</f>
        <v>完工</v>
      </c>
      <c r="J39">
        <f>'附件3 规划内'!J121</f>
        <v>1</v>
      </c>
      <c r="K39" t="str">
        <f>'附件3 规划内'!K121</f>
        <v/>
      </c>
      <c r="L39">
        <f>'附件3 规划内'!L121</f>
        <v>0</v>
      </c>
      <c r="M39" s="26">
        <f>'附件3 规划内'!M121</f>
        <v>44409</v>
      </c>
      <c r="N39" s="26">
        <f>'附件3 规划内'!N121</f>
        <v>44561</v>
      </c>
      <c r="O39" t="str">
        <f>'附件3 规划内'!O121</f>
        <v>市乡村振兴局</v>
      </c>
      <c r="P39" t="str">
        <f>'附件3 规划内'!P121</f>
        <v>通许县</v>
      </c>
      <c r="Q39">
        <f>'附件3 规划内'!Q121</f>
        <v>0</v>
      </c>
      <c r="R39">
        <f>'附件3 规划内'!R121</f>
        <v>0</v>
      </c>
      <c r="T39">
        <f>'附件4 规划外'!A211</f>
        <v>224</v>
      </c>
      <c r="U39" t="str">
        <f>'附件4 规划外'!B211</f>
        <v>通许县农村饮水工程维修养护</v>
      </c>
      <c r="V39" t="str">
        <f>'附件4 规划外'!C211</f>
        <v>其他</v>
      </c>
      <c r="W39" t="str">
        <f>'附件4 规划外'!D211</f>
        <v>管网改造共计 8154m，更换阀门 15个，更换次氯酸钠发生器（100 型）2 套，更换 5t 滤砂罐（含钢管阀门等辅件）2 套，更换 50t 压力罐（含钢管阀门压力表等辅件）7 套，更换潜水泵（含 160m 防水潜水电缆JHS(YC)3*25）6 套等</v>
      </c>
      <c r="X39">
        <f>'附件4 规划外'!E211</f>
        <v>232</v>
      </c>
      <c r="Y39">
        <f>'附件4 规划外'!F211</f>
        <v>0</v>
      </c>
      <c r="Z39">
        <f>'附件4 规划外'!G211</f>
        <v>232</v>
      </c>
      <c r="AA39">
        <f>'附件4 规划外'!H211</f>
        <v>0</v>
      </c>
      <c r="AB39" t="str">
        <f>'附件4 规划外'!I211</f>
        <v>完工</v>
      </c>
      <c r="AC39">
        <f>'附件4 规划外'!J211</f>
        <v>232</v>
      </c>
      <c r="AD39">
        <f>'附件4 规划外'!K211</f>
        <v>232</v>
      </c>
      <c r="AE39">
        <f>'附件4 规划外'!L211</f>
        <v>0</v>
      </c>
      <c r="AF39">
        <f>'附件4 规划外'!M211</f>
        <v>44682</v>
      </c>
      <c r="AG39">
        <f>'附件4 规划外'!N211</f>
        <v>44713</v>
      </c>
      <c r="AH39" t="str">
        <f>'附件4 规划外'!O211</f>
        <v>市水利局</v>
      </c>
      <c r="AI39" t="str">
        <f>'附件4 规划外'!P211</f>
        <v>通许县</v>
      </c>
      <c r="AJ39">
        <f>'附件4 规划外'!Q211</f>
        <v>0</v>
      </c>
      <c r="AK39">
        <f>'附件4 规划外'!R211</f>
        <v>0</v>
      </c>
    </row>
    <row r="40" spans="1:18">
      <c r="A40">
        <f>'附件3 规划内'!A122</f>
        <v>121</v>
      </c>
      <c r="B40" t="str">
        <f>'附件3 规划内'!B122</f>
        <v>2019年邸阁乡东时村设施农业奖补大棚项目</v>
      </c>
      <c r="C40" t="str">
        <f>'附件3 规划内'!C122</f>
        <v>乡村振兴</v>
      </c>
      <c r="D40" t="str">
        <f>'附件3 规划内'!D122</f>
        <v>东时村6座冷棚因汛情影响，其中2座大棚薄膜需要进行修复，4座大棚薄膜需重新覆盖维修。</v>
      </c>
      <c r="E40">
        <f>'附件3 规划内'!E122</f>
        <v>1.8</v>
      </c>
      <c r="F40">
        <f>'附件3 规划内'!F122</f>
        <v>1.8</v>
      </c>
      <c r="G40">
        <f>'附件3 规划内'!G122</f>
        <v>0</v>
      </c>
      <c r="H40">
        <f>'附件3 规划内'!H122</f>
        <v>0</v>
      </c>
      <c r="I40" t="str">
        <f>'附件3 规划内'!I122</f>
        <v>完工</v>
      </c>
      <c r="J40">
        <f>'附件3 规划内'!J122</f>
        <v>1.8</v>
      </c>
      <c r="K40" t="str">
        <f>'附件3 规划内'!K122</f>
        <v/>
      </c>
      <c r="L40">
        <f>'附件3 规划内'!L122</f>
        <v>0</v>
      </c>
      <c r="M40" s="26">
        <f>'附件3 规划内'!M122</f>
        <v>44409</v>
      </c>
      <c r="N40" s="26">
        <f>'附件3 规划内'!N122</f>
        <v>44561</v>
      </c>
      <c r="O40" t="str">
        <f>'附件3 规划内'!O122</f>
        <v>市乡村振兴局</v>
      </c>
      <c r="P40" t="str">
        <f>'附件3 规划内'!P122</f>
        <v>通许县</v>
      </c>
      <c r="Q40">
        <f>'附件3 规划内'!Q122</f>
        <v>0</v>
      </c>
      <c r="R40">
        <f>'附件3 规划内'!R122</f>
        <v>0</v>
      </c>
    </row>
    <row r="41" spans="1:18">
      <c r="A41">
        <f>'附件3 规划内'!A123</f>
        <v>122</v>
      </c>
      <c r="B41" t="str">
        <f>'附件3 规划内'!B123</f>
        <v>2019年四所楼镇岭西村设施农业奖补大棚项目</v>
      </c>
      <c r="C41" t="str">
        <f>'附件3 规划内'!C123</f>
        <v>乡村振兴</v>
      </c>
      <c r="D41" t="str">
        <f>'附件3 规划内'!D123</f>
        <v>6座大棚棚膜修复，更换棚膜</v>
      </c>
      <c r="E41">
        <f>'附件3 规划内'!E123</f>
        <v>1.2</v>
      </c>
      <c r="F41">
        <f>'附件3 规划内'!F123</f>
        <v>1.2</v>
      </c>
      <c r="G41">
        <f>'附件3 规划内'!G123</f>
        <v>0</v>
      </c>
      <c r="H41">
        <f>'附件3 规划内'!H123</f>
        <v>0</v>
      </c>
      <c r="I41" t="str">
        <f>'附件3 规划内'!I123</f>
        <v>完工</v>
      </c>
      <c r="J41">
        <f>'附件3 规划内'!J123</f>
        <v>1.2</v>
      </c>
      <c r="K41" t="str">
        <f>'附件3 规划内'!K123</f>
        <v/>
      </c>
      <c r="L41">
        <f>'附件3 规划内'!L123</f>
        <v>0</v>
      </c>
      <c r="M41" s="26">
        <f>'附件3 规划内'!M123</f>
        <v>44409</v>
      </c>
      <c r="N41" s="26">
        <f>'附件3 规划内'!N123</f>
        <v>44561</v>
      </c>
      <c r="O41" t="str">
        <f>'附件3 规划内'!O123</f>
        <v>市乡村振兴局</v>
      </c>
      <c r="P41" t="str">
        <f>'附件3 规划内'!P123</f>
        <v>通许县</v>
      </c>
      <c r="Q41">
        <f>'附件3 规划内'!Q123</f>
        <v>0</v>
      </c>
      <c r="R41">
        <f>'附件3 规划内'!R123</f>
        <v>0</v>
      </c>
    </row>
    <row r="42" spans="1:18">
      <c r="A42">
        <f>'附件3 规划内'!A238</f>
        <v>219</v>
      </c>
      <c r="B42" t="str">
        <f>'附件3 规划内'!B238</f>
        <v>通许县水毁农田新建项目</v>
      </c>
      <c r="C42" t="str">
        <f>'附件3 规划内'!C238</f>
        <v>农业</v>
      </c>
      <c r="D42" t="str">
        <f>'附件3 规划内'!D238</f>
        <v>46000亩</v>
      </c>
      <c r="E42">
        <f>'附件3 规划内'!E238</f>
        <v>7360</v>
      </c>
      <c r="F42">
        <f>'附件3 规划内'!F238</f>
        <v>0</v>
      </c>
      <c r="G42">
        <f>'附件3 规划内'!G238</f>
        <v>7360</v>
      </c>
      <c r="H42">
        <f>'附件3 规划内'!H238</f>
        <v>0</v>
      </c>
      <c r="I42" t="str">
        <f>'附件3 规划内'!I238</f>
        <v>在建</v>
      </c>
      <c r="J42">
        <f>'附件3 规划内'!J238</f>
        <v>5478</v>
      </c>
      <c r="K42">
        <f>'附件3 规划内'!K238</f>
        <v>5478</v>
      </c>
      <c r="L42">
        <f>'附件3 规划内'!L238</f>
        <v>0</v>
      </c>
      <c r="M42" s="26">
        <f>'附件3 规划内'!M238</f>
        <v>44713</v>
      </c>
      <c r="N42" s="26" t="str">
        <f>'附件3 规划内'!N238</f>
        <v>2023年12月</v>
      </c>
      <c r="O42" t="str">
        <f>'附件3 规划内'!O238</f>
        <v>市农业农村局</v>
      </c>
      <c r="P42" t="str">
        <f>'附件3 规划内'!P238</f>
        <v>通许县</v>
      </c>
      <c r="Q42">
        <f>'附件3 规划内'!Q238</f>
        <v>0</v>
      </c>
      <c r="R42" t="str">
        <f>'附件3 规划内'!R238</f>
        <v>2022年12月底</v>
      </c>
    </row>
    <row r="43" spans="1:18">
      <c r="A43">
        <f>'附件3 规划内'!A239</f>
        <v>220</v>
      </c>
      <c r="B43" t="str">
        <f>'附件3 规划内'!B239</f>
        <v>通许县水毁农田恢复项目</v>
      </c>
      <c r="C43" t="str">
        <f>'附件3 规划内'!C239</f>
        <v>农业</v>
      </c>
      <c r="D43" t="str">
        <f>'附件3 规划内'!D239</f>
        <v>6650亩</v>
      </c>
      <c r="E43">
        <f>'附件3 规划内'!E239</f>
        <v>327.84</v>
      </c>
      <c r="F43">
        <f>'附件3 规划内'!F239</f>
        <v>327.84</v>
      </c>
      <c r="G43">
        <f>'附件3 规划内'!G239</f>
        <v>0</v>
      </c>
      <c r="H43">
        <f>'附件3 规划内'!H239</f>
        <v>0</v>
      </c>
      <c r="I43" t="str">
        <f>'附件3 规划内'!I239</f>
        <v>完工</v>
      </c>
      <c r="J43">
        <f>'附件3 规划内'!J239</f>
        <v>327.84</v>
      </c>
      <c r="K43">
        <f>'附件3 规划内'!K239</f>
        <v>327.84</v>
      </c>
      <c r="L43">
        <f>'附件3 规划内'!L239</f>
        <v>0</v>
      </c>
      <c r="M43" s="26">
        <f>'附件3 规划内'!M239</f>
        <v>44440</v>
      </c>
      <c r="N43" s="26" t="str">
        <f>'附件3 规划内'!N239</f>
        <v>2022年6月</v>
      </c>
      <c r="O43" t="str">
        <f>'附件3 规划内'!O239</f>
        <v>市农业农村局</v>
      </c>
      <c r="P43" t="str">
        <f>'附件3 规划内'!P239</f>
        <v>通许县</v>
      </c>
      <c r="Q43">
        <f>'附件3 规划内'!Q239</f>
        <v>0</v>
      </c>
      <c r="R43" t="str">
        <f>'附件3 规划内'!R239</f>
        <v>Ⅱ类，2022年6月底</v>
      </c>
    </row>
    <row r="44" spans="1:18">
      <c r="A44">
        <f>'附件3 规划内'!A240</f>
        <v>221</v>
      </c>
      <c r="B44" t="str">
        <f>'附件3 规划内'!B240</f>
        <v>通许县水毁农田应急修复项目</v>
      </c>
      <c r="C44" t="str">
        <f>'附件3 规划内'!C240</f>
        <v>农业</v>
      </c>
      <c r="D44" t="str">
        <f>'附件3 规划内'!D240</f>
        <v>1400亩</v>
      </c>
      <c r="E44">
        <f>'附件3 规划内'!E240</f>
        <v>34.16</v>
      </c>
      <c r="F44">
        <f>'附件3 规划内'!F240</f>
        <v>34.16</v>
      </c>
      <c r="G44">
        <f>'附件3 规划内'!G240</f>
        <v>0</v>
      </c>
      <c r="H44">
        <f>'附件3 规划内'!H240</f>
        <v>0</v>
      </c>
      <c r="I44" t="str">
        <f>'附件3 规划内'!I240</f>
        <v>完工</v>
      </c>
      <c r="J44">
        <f>'附件3 规划内'!J240</f>
        <v>34.16</v>
      </c>
      <c r="K44" t="str">
        <f>'附件3 规划内'!K240</f>
        <v/>
      </c>
      <c r="L44">
        <f>'附件3 规划内'!L240</f>
        <v>0</v>
      </c>
      <c r="M44" s="26">
        <f>'附件3 规划内'!M240</f>
        <v>44440</v>
      </c>
      <c r="N44" s="26" t="str">
        <f>'附件3 规划内'!N240</f>
        <v>2021年12月</v>
      </c>
      <c r="O44" t="str">
        <f>'附件3 规划内'!O240</f>
        <v>市农业农村局</v>
      </c>
      <c r="P44" t="str">
        <f>'附件3 规划内'!P240</f>
        <v>通许县</v>
      </c>
      <c r="Q44">
        <f>'附件3 规划内'!Q240</f>
        <v>0</v>
      </c>
      <c r="R44" t="str">
        <f>'附件3 规划内'!R240</f>
        <v>Ⅲ类，2021年已完成</v>
      </c>
    </row>
  </sheetData>
  <sheetProtection formatCells="0" formatColumns="0" formatRows="0" sort="0" autoFilter="0"/>
  <autoFilter ref="A6:AK44">
    <extLst/>
  </autoFilter>
  <mergeCells count="5">
    <mergeCell ref="A1:G1"/>
    <mergeCell ref="H1:N1"/>
    <mergeCell ref="O1:U1"/>
    <mergeCell ref="A5:R5"/>
    <mergeCell ref="T5:AK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0000"/>
  </sheetPr>
  <dimension ref="A1:AK118"/>
  <sheetViews>
    <sheetView zoomScale="90" zoomScaleNormal="90" topLeftCell="O1" workbookViewId="0">
      <pane ySplit="6" topLeftCell="A7" activePane="bottomLeft" state="frozen"/>
      <selection/>
      <selection pane="bottomLeft" activeCell="AH96" sqref="AH96"/>
    </sheetView>
  </sheetViews>
  <sheetFormatPr defaultColWidth="9" defaultRowHeight="13.5"/>
  <cols>
    <col min="7" max="7" width="10.0916666666667" customWidth="1"/>
    <col min="13" max="14" width="11.9083333333333" customWidth="1"/>
    <col min="32" max="32" width="10.6333333333333" customWidth="1"/>
    <col min="33" max="33" width="11.725" customWidth="1"/>
  </cols>
  <sheetData>
    <row r="1" ht="14.15" customHeight="1" spans="1:21">
      <c r="A1" s="2" t="s">
        <v>1198</v>
      </c>
      <c r="B1" s="3"/>
      <c r="C1" s="3"/>
      <c r="D1" s="3"/>
      <c r="E1" s="3"/>
      <c r="F1" s="3"/>
      <c r="G1" s="4"/>
      <c r="H1" s="5" t="s">
        <v>1199</v>
      </c>
      <c r="I1" s="5"/>
      <c r="J1" s="5"/>
      <c r="K1" s="5"/>
      <c r="L1" s="5"/>
      <c r="M1" s="5"/>
      <c r="N1" s="5"/>
      <c r="O1" s="16" t="s">
        <v>1199</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177</v>
      </c>
      <c r="C3" s="10">
        <f t="shared" ref="C3:F4" si="0">J3+Q3</f>
        <v>78688.0302</v>
      </c>
      <c r="D3" s="10">
        <f t="shared" si="0"/>
        <v>177</v>
      </c>
      <c r="E3" s="10">
        <f t="shared" si="0"/>
        <v>161</v>
      </c>
      <c r="F3" s="10">
        <f t="shared" si="0"/>
        <v>72267.3761</v>
      </c>
      <c r="G3" s="11">
        <f>IF(C3=0,"-",ROUND(F3/C3,3))</f>
        <v>0.918</v>
      </c>
      <c r="H3" s="8" t="s">
        <v>1146</v>
      </c>
      <c r="I3" s="17">
        <f>COUNT(E7:E122)-18</f>
        <v>94</v>
      </c>
      <c r="J3" s="21">
        <f>SUM(E7:E122)</f>
        <v>71010.13</v>
      </c>
      <c r="K3" s="21">
        <f>COUNTIF(I7:I122,"在建")+COUNTIF(I7:I122,"完工")-18</f>
        <v>94</v>
      </c>
      <c r="L3" s="21">
        <f>COUNTIF(I7:I122,"完工")-18</f>
        <v>81</v>
      </c>
      <c r="M3" s="17">
        <f>SUM(J7:J122)</f>
        <v>65361.2759</v>
      </c>
      <c r="N3" s="22">
        <f>IF(J3=0,"-",ROUND(M3/J3,3))</f>
        <v>0.92</v>
      </c>
      <c r="O3" s="19" t="s">
        <v>1146</v>
      </c>
      <c r="P3" s="20">
        <f>COUNT(X7:X122)</f>
        <v>83</v>
      </c>
      <c r="Q3" s="24">
        <f>SUM(X7:X122)</f>
        <v>7677.9002</v>
      </c>
      <c r="R3" s="24">
        <f>COUNTIF(AB7:AB122,"在建")+COUNTIF(AB7:AB122,"完工")</f>
        <v>83</v>
      </c>
      <c r="S3" s="24">
        <f>COUNTIF(AB7:AB122,"完工")</f>
        <v>80</v>
      </c>
      <c r="T3" s="20">
        <f>SUM(AC7:AC122)</f>
        <v>6906.1002</v>
      </c>
      <c r="U3" s="25">
        <f>IF(Q3=0,"-",ROUND(T3/Q3,3))</f>
        <v>0.899</v>
      </c>
    </row>
    <row r="4" ht="27" spans="1:21">
      <c r="A4" s="9" t="s">
        <v>1147</v>
      </c>
      <c r="B4" s="10">
        <f>I4+P4</f>
        <v>62</v>
      </c>
      <c r="C4" s="10">
        <f t="shared" si="0"/>
        <v>46370.565972</v>
      </c>
      <c r="D4" s="10">
        <f t="shared" si="0"/>
        <v>62</v>
      </c>
      <c r="E4" s="10">
        <f t="shared" si="0"/>
        <v>46</v>
      </c>
      <c r="F4" s="10">
        <f t="shared" si="0"/>
        <v>60277.911872</v>
      </c>
      <c r="G4" s="12">
        <f>IF(C4=0,"-",ROUND(F4/C4,3))</f>
        <v>1.3</v>
      </c>
      <c r="H4" s="8" t="s">
        <v>1147</v>
      </c>
      <c r="I4" s="17">
        <f>COUNTIF(G7:G122,"&gt;0")+2</f>
        <v>56</v>
      </c>
      <c r="J4" s="21">
        <f>SUM(G7:G122)</f>
        <v>43177.765972</v>
      </c>
      <c r="K4" s="21">
        <f>COUNTIFS(G7:G122,"&gt;0",I7:I122,"完工")+COUNTIFS(G7:G122,"&gt;0",I7:I122,"在建")+IF(I112&lt;&gt;"未开工",1,0)+IF(I113&lt;&gt;"未开工",1,0)</f>
        <v>56</v>
      </c>
      <c r="L4" s="21">
        <f>COUNTIFS(G7:G122,"&gt;0",I7:I122,"完工")+IF(I112="完工",1,0)+IF(I113="完工",1,0)</f>
        <v>43</v>
      </c>
      <c r="M4" s="17">
        <f>SUM(K7:K122)</f>
        <v>57926.911872</v>
      </c>
      <c r="N4" s="22">
        <f>IF(J4=0,"-",ROUND(M4/J4,3))</f>
        <v>1.342</v>
      </c>
      <c r="O4" s="19" t="s">
        <v>1147</v>
      </c>
      <c r="P4" s="20">
        <f>COUNTIF(Z7:Z122,"&gt;0")</f>
        <v>6</v>
      </c>
      <c r="Q4" s="24">
        <f>SUM(Z7:Z122)</f>
        <v>3192.8</v>
      </c>
      <c r="R4" s="24">
        <f>COUNTIFS(Z7:Z122,"&gt;0",AB7:AB122,"完工")+COUNTIFS(Z7:Z122,"&gt;0",AB7:AB122,"在建")</f>
        <v>6</v>
      </c>
      <c r="S4" s="24">
        <f>COUNTIFS(Z7:Z122,"&gt;0",AB7:AB122,"完工")</f>
        <v>3</v>
      </c>
      <c r="T4" s="20">
        <f>SUM(AD7:AD122)</f>
        <v>2351</v>
      </c>
      <c r="U4" s="25">
        <f>IF(Q4=0,"-",ROUND(T4/Q4,3))</f>
        <v>0.736</v>
      </c>
    </row>
    <row r="5" s="1" customFormat="1" spans="1:37">
      <c r="A5" s="13" t="s">
        <v>1200</v>
      </c>
      <c r="B5" s="14"/>
      <c r="C5" s="14"/>
      <c r="D5" s="14"/>
      <c r="E5" s="14"/>
      <c r="F5" s="14"/>
      <c r="G5" s="14"/>
      <c r="H5" s="14"/>
      <c r="I5" s="14"/>
      <c r="J5" s="14"/>
      <c r="K5" s="14"/>
      <c r="L5" s="14"/>
      <c r="M5" s="14"/>
      <c r="N5" s="14"/>
      <c r="O5" s="14"/>
      <c r="P5" s="14"/>
      <c r="Q5" s="14"/>
      <c r="R5" s="36"/>
      <c r="T5" s="13" t="s">
        <v>1201</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hidden="1" spans="1:37">
      <c r="A7">
        <f>'附件3 规划内'!A4</f>
        <v>3</v>
      </c>
      <c r="B7" t="str">
        <f>'附件3 规划内'!B4</f>
        <v>尉氏县村民住房重建</v>
      </c>
      <c r="C7" t="str">
        <f>'附件3 规划内'!C4</f>
        <v>城乡住房</v>
      </c>
      <c r="D7" t="str">
        <f>'附件3 规划内'!D4</f>
        <v>修缮加固3544户、原址重建205户</v>
      </c>
      <c r="E7">
        <f>'附件3 规划内'!E4</f>
        <v>2442.6</v>
      </c>
      <c r="F7">
        <f>'附件3 规划内'!F4</f>
        <v>1699.6</v>
      </c>
      <c r="G7">
        <f>'附件3 规划内'!G4</f>
        <v>743</v>
      </c>
      <c r="H7">
        <f>'附件3 规划内'!H4</f>
        <v>0</v>
      </c>
      <c r="I7" t="str">
        <f>'附件3 规划内'!I4</f>
        <v>完工</v>
      </c>
      <c r="J7">
        <f>'附件3 规划内'!J4</f>
        <v>2442.6</v>
      </c>
      <c r="K7">
        <f>'附件3 规划内'!K4</f>
        <v>743</v>
      </c>
      <c r="L7">
        <f>'附件3 规划内'!L4</f>
        <v>0</v>
      </c>
      <c r="M7">
        <f>'附件3 规划内'!M4</f>
        <v>0</v>
      </c>
      <c r="N7">
        <f>'附件3 规划内'!N4</f>
        <v>0</v>
      </c>
      <c r="O7" t="str">
        <f>'附件3 规划内'!O4</f>
        <v>市住房城乡建设局</v>
      </c>
      <c r="P7" t="str">
        <f>'附件3 规划内'!P4</f>
        <v>尉氏县</v>
      </c>
      <c r="Q7">
        <f>'附件3 规划内'!Q4</f>
        <v>0</v>
      </c>
      <c r="R7">
        <f>'附件3 规划内'!R4</f>
        <v>0</v>
      </c>
      <c r="T7">
        <f>'附件4 规划外'!A43</f>
        <v>53</v>
      </c>
      <c r="U7" t="str">
        <f>'附件4 规划外'!B43</f>
        <v>尉氏县S102在建市政道路受灾修复工程</v>
      </c>
      <c r="V7" t="str">
        <f>'附件4 规划外'!C43</f>
        <v>市政</v>
      </c>
      <c r="W7" t="str">
        <f>'附件4 规划外'!D43</f>
        <v>对S102在建市政道路路槽积水进行抽排,损毁路基、路面修复、桥梁重建。</v>
      </c>
      <c r="X7">
        <f>'附件4 规划外'!E43</f>
        <v>500</v>
      </c>
      <c r="Y7">
        <f>'附件4 规划外'!F43</f>
        <v>500</v>
      </c>
      <c r="Z7">
        <f>'附件4 规划外'!G43</f>
        <v>0</v>
      </c>
      <c r="AA7">
        <f>'附件4 规划外'!H43</f>
        <v>0</v>
      </c>
      <c r="AB7" t="str">
        <f>'附件4 规划外'!I43</f>
        <v>完工</v>
      </c>
      <c r="AC7">
        <f>'附件4 规划外'!J43</f>
        <v>500</v>
      </c>
      <c r="AD7" t="str">
        <f>'附件4 规划外'!K43</f>
        <v/>
      </c>
      <c r="AE7" t="str">
        <f>'附件4 规划外'!L43</f>
        <v>已完工</v>
      </c>
      <c r="AF7">
        <f>'附件4 规划外'!M43</f>
        <v>44409</v>
      </c>
      <c r="AG7">
        <f>'附件4 规划外'!N43</f>
        <v>44531</v>
      </c>
      <c r="AH7" t="str">
        <f>'附件4 规划外'!O43</f>
        <v>市城管局</v>
      </c>
      <c r="AI7" t="str">
        <f>'附件4 规划外'!P43</f>
        <v>尉氏县</v>
      </c>
      <c r="AJ7">
        <f>'附件4 规划外'!Q43</f>
        <v>0</v>
      </c>
      <c r="AK7">
        <f>'附件4 规划外'!R43</f>
        <v>0</v>
      </c>
    </row>
    <row r="8" hidden="1" spans="1:37">
      <c r="A8">
        <f>'附件3 规划内'!A10</f>
        <v>9</v>
      </c>
      <c r="B8" t="str">
        <f>'附件3 规划内'!B10</f>
        <v>杜公河</v>
      </c>
      <c r="C8" t="str">
        <f>'附件3 规划内'!C10</f>
        <v>水利</v>
      </c>
      <c r="D8" t="str">
        <f>'附件3 规划内'!D10</f>
        <v>堤防加固。</v>
      </c>
      <c r="E8">
        <f>'附件3 规划内'!E10</f>
        <v>20</v>
      </c>
      <c r="F8">
        <f>'附件3 规划内'!F10</f>
        <v>20</v>
      </c>
      <c r="G8">
        <f>'附件3 规划内'!G10</f>
        <v>0</v>
      </c>
      <c r="H8">
        <f>'附件3 规划内'!H10</f>
        <v>0</v>
      </c>
      <c r="I8" t="str">
        <f>'附件3 规划内'!I10</f>
        <v>完工</v>
      </c>
      <c r="J8">
        <f>'附件3 规划内'!J10</f>
        <v>20</v>
      </c>
      <c r="K8" t="str">
        <f>'附件3 规划内'!K10</f>
        <v/>
      </c>
      <c r="L8">
        <f>'附件3 规划内'!L10</f>
        <v>0</v>
      </c>
      <c r="M8" s="26">
        <f>'附件3 规划内'!M10</f>
        <v>44520</v>
      </c>
      <c r="N8" s="26">
        <f>'附件3 规划内'!N10</f>
        <v>44621</v>
      </c>
      <c r="O8" t="str">
        <f>'附件3 规划内'!O10</f>
        <v>市水利局</v>
      </c>
      <c r="P8" t="str">
        <f>'附件3 规划内'!P10</f>
        <v>尉氏县</v>
      </c>
      <c r="Q8">
        <f>'附件3 规划内'!Q10</f>
        <v>0</v>
      </c>
      <c r="R8">
        <f>'附件3 规划内'!R10</f>
        <v>0</v>
      </c>
      <c r="T8">
        <f>'附件4 规划外'!A44</f>
        <v>54</v>
      </c>
      <c r="U8" t="str">
        <f>'附件4 规划外'!B44</f>
        <v>尉氏县北二环应急应急排涝河渠建设工程</v>
      </c>
      <c r="V8" t="str">
        <f>'附件4 规划外'!C44</f>
        <v>市政</v>
      </c>
      <c r="W8" t="str">
        <f>'附件4 规划外'!D44</f>
        <v>建设刘麦河北二环处分流导洪渠刘麦河至康沟河段，长度2.4公里，宽15米，满足排涝分流建设需求</v>
      </c>
      <c r="X8">
        <f>'附件4 规划外'!E44</f>
        <v>900</v>
      </c>
      <c r="Y8">
        <f>'附件4 规划外'!F44</f>
        <v>900</v>
      </c>
      <c r="Z8">
        <f>'附件4 规划外'!G44</f>
        <v>0</v>
      </c>
      <c r="AA8">
        <f>'附件4 规划外'!H44</f>
        <v>0</v>
      </c>
      <c r="AB8" t="str">
        <f>'附件4 规划外'!I44</f>
        <v>完工</v>
      </c>
      <c r="AC8">
        <f>'附件4 规划外'!J44</f>
        <v>900</v>
      </c>
      <c r="AD8" t="str">
        <f>'附件4 规划外'!K44</f>
        <v/>
      </c>
      <c r="AE8" t="str">
        <f>'附件4 规划外'!L44</f>
        <v>已完工</v>
      </c>
      <c r="AF8">
        <f>'附件4 规划外'!M44</f>
        <v>44440</v>
      </c>
      <c r="AG8">
        <f>'附件4 规划外'!N44</f>
        <v>44531</v>
      </c>
      <c r="AH8" t="str">
        <f>'附件4 规划外'!O44</f>
        <v>市城管局</v>
      </c>
      <c r="AI8" t="str">
        <f>'附件4 规划外'!P44</f>
        <v>尉氏县</v>
      </c>
      <c r="AJ8">
        <f>'附件4 规划外'!Q44</f>
        <v>0</v>
      </c>
      <c r="AK8">
        <f>'附件4 规划外'!R44</f>
        <v>0</v>
      </c>
    </row>
    <row r="9" spans="1:37">
      <c r="A9">
        <f>'附件3 规划内'!A11</f>
        <v>10</v>
      </c>
      <c r="B9" t="str">
        <f>'附件3 规划内'!B11</f>
        <v>康沟河</v>
      </c>
      <c r="C9" t="str">
        <f>'附件3 规划内'!C11</f>
        <v>水利</v>
      </c>
      <c r="D9" t="str">
        <f>'附件3 规划内'!D11</f>
        <v>堤防及护坡水毁修复。</v>
      </c>
      <c r="E9">
        <f>'附件3 规划内'!E11</f>
        <v>50</v>
      </c>
      <c r="F9">
        <f>'附件3 规划内'!F11</f>
        <v>50</v>
      </c>
      <c r="G9">
        <f>'附件3 规划内'!G11</f>
        <v>0</v>
      </c>
      <c r="H9">
        <f>'附件3 规划内'!H11</f>
        <v>0</v>
      </c>
      <c r="I9" t="str">
        <f>'附件3 规划内'!I11</f>
        <v>完工</v>
      </c>
      <c r="J9">
        <f>'附件3 规划内'!J11</f>
        <v>50</v>
      </c>
      <c r="K9" t="str">
        <f>'附件3 规划内'!K11</f>
        <v/>
      </c>
      <c r="L9">
        <f>'附件3 规划内'!L11</f>
        <v>0</v>
      </c>
      <c r="M9" s="26">
        <f>'附件3 规划内'!M11</f>
        <v>44520</v>
      </c>
      <c r="N9" s="26">
        <f>'附件3 规划内'!N11</f>
        <v>44621</v>
      </c>
      <c r="O9" t="str">
        <f>'附件3 规划内'!O11</f>
        <v>市水利局</v>
      </c>
      <c r="P9" t="str">
        <f>'附件3 规划内'!P11</f>
        <v>尉氏县</v>
      </c>
      <c r="Q9">
        <f>'附件3 规划内'!Q11</f>
        <v>0</v>
      </c>
      <c r="R9">
        <f>'附件3 规划内'!R11</f>
        <v>0</v>
      </c>
      <c r="T9">
        <f>'附件4 规划外'!A45</f>
        <v>55</v>
      </c>
      <c r="U9" t="str">
        <f>'附件4 规划外'!B45</f>
        <v>尉氏县城区窨井盖及雨水口维修</v>
      </c>
      <c r="V9" t="str">
        <f>'附件4 规划外'!C45</f>
        <v>市政</v>
      </c>
      <c r="W9" t="str">
        <f>'附件4 规划外'!D45</f>
        <v>对丢失、冲毁、损坏的窨井盖及雨水口进行维修</v>
      </c>
      <c r="X9">
        <f>'附件4 规划外'!E45</f>
        <v>1000</v>
      </c>
      <c r="Y9">
        <f>'附件4 规划外'!F45</f>
        <v>400</v>
      </c>
      <c r="Z9">
        <f>'附件4 规划外'!G45</f>
        <v>400</v>
      </c>
      <c r="AA9">
        <f>'附件4 规划外'!H45</f>
        <v>200</v>
      </c>
      <c r="AB9" t="str">
        <f>'附件4 规划外'!I45</f>
        <v>在建</v>
      </c>
      <c r="AC9">
        <f>'附件4 规划外'!J45</f>
        <v>560</v>
      </c>
      <c r="AD9">
        <f>'附件4 规划外'!K45</f>
        <v>160</v>
      </c>
      <c r="AE9" t="str">
        <f>'附件4 规划外'!L45</f>
        <v>完成总工程量的55%</v>
      </c>
      <c r="AF9">
        <f>'附件4 规划外'!M45</f>
        <v>44440</v>
      </c>
      <c r="AG9">
        <f>'附件4 规划外'!N45</f>
        <v>45139</v>
      </c>
      <c r="AH9" t="str">
        <f>'附件4 规划外'!O45</f>
        <v>市城管局</v>
      </c>
      <c r="AI9" t="str">
        <f>'附件4 规划外'!P45</f>
        <v>尉氏县</v>
      </c>
      <c r="AJ9">
        <f>'附件4 规划外'!Q45</f>
        <v>0</v>
      </c>
      <c r="AK9">
        <f>'附件4 规划外'!R45</f>
        <v>0</v>
      </c>
    </row>
    <row r="10" hidden="1" spans="1:37">
      <c r="A10">
        <f>'附件3 规划内'!A12</f>
        <v>11</v>
      </c>
      <c r="B10" t="str">
        <f>'附件3 规划内'!B12</f>
        <v>黎明河</v>
      </c>
      <c r="C10" t="str">
        <f>'附件3 规划内'!C12</f>
        <v>水利</v>
      </c>
      <c r="D10" t="str">
        <f>'附件3 规划内'!D12</f>
        <v>堤防加固，岸坡修复。</v>
      </c>
      <c r="E10">
        <f>'附件3 规划内'!E12</f>
        <v>10</v>
      </c>
      <c r="F10">
        <f>'附件3 规划内'!F12</f>
        <v>10</v>
      </c>
      <c r="G10">
        <f>'附件3 规划内'!G12</f>
        <v>0</v>
      </c>
      <c r="H10">
        <f>'附件3 规划内'!H12</f>
        <v>0</v>
      </c>
      <c r="I10" t="str">
        <f>'附件3 规划内'!I12</f>
        <v>完工</v>
      </c>
      <c r="J10">
        <f>'附件3 规划内'!J12</f>
        <v>10</v>
      </c>
      <c r="K10" t="str">
        <f>'附件3 规划内'!K12</f>
        <v/>
      </c>
      <c r="L10">
        <f>'附件3 规划内'!L12</f>
        <v>0</v>
      </c>
      <c r="M10" s="26">
        <f>'附件3 规划内'!M12</f>
        <v>44520</v>
      </c>
      <c r="N10" s="26">
        <f>'附件3 规划内'!N12</f>
        <v>44621</v>
      </c>
      <c r="O10" t="str">
        <f>'附件3 规划内'!O12</f>
        <v>市水利局</v>
      </c>
      <c r="P10" t="str">
        <f>'附件3 规划内'!P12</f>
        <v>尉氏县</v>
      </c>
      <c r="Q10">
        <f>'附件3 规划内'!Q12</f>
        <v>0</v>
      </c>
      <c r="R10">
        <f>'附件3 规划内'!R12</f>
        <v>0</v>
      </c>
      <c r="T10">
        <f>'附件4 规划外'!A46</f>
        <v>56</v>
      </c>
      <c r="U10" t="str">
        <f>'附件4 规划外'!B46</f>
        <v>尉氏县供水管网灾后恢复重建项目</v>
      </c>
      <c r="V10" t="str">
        <f>'附件4 规划外'!C46</f>
        <v>市政</v>
      </c>
      <c r="W10" t="str">
        <f>'附件4 规划外'!D46</f>
        <v>设备更换、管网修复重建</v>
      </c>
      <c r="X10">
        <f>'附件4 规划外'!E46</f>
        <v>333</v>
      </c>
      <c r="Y10">
        <f>'附件4 规划外'!F46</f>
        <v>333</v>
      </c>
      <c r="Z10">
        <f>'附件4 规划外'!G46</f>
        <v>0</v>
      </c>
      <c r="AA10">
        <f>'附件4 规划外'!H46</f>
        <v>0</v>
      </c>
      <c r="AB10" t="str">
        <f>'附件4 规划外'!I46</f>
        <v>完工</v>
      </c>
      <c r="AC10">
        <f>'附件4 规划外'!J46</f>
        <v>333</v>
      </c>
      <c r="AD10" t="str">
        <f>'附件4 规划外'!K46</f>
        <v/>
      </c>
      <c r="AE10" t="str">
        <f>'附件4 规划外'!L46</f>
        <v>已完工</v>
      </c>
      <c r="AF10">
        <f>'附件4 规划外'!M46</f>
        <v>44501</v>
      </c>
      <c r="AG10">
        <f>'附件4 规划外'!N46</f>
        <v>44531</v>
      </c>
      <c r="AH10" t="str">
        <f>'附件4 规划外'!O46</f>
        <v>市城管局</v>
      </c>
      <c r="AI10" t="str">
        <f>'附件4 规划外'!P46</f>
        <v>尉氏县</v>
      </c>
      <c r="AJ10">
        <f>'附件4 规划外'!Q46</f>
        <v>0</v>
      </c>
      <c r="AK10">
        <f>'附件4 规划外'!R46</f>
        <v>0</v>
      </c>
    </row>
    <row r="11" hidden="1" spans="1:37">
      <c r="A11">
        <f>'附件3 规划内'!A13</f>
        <v>12</v>
      </c>
      <c r="B11" t="str">
        <f>'附件3 规划内'!B13</f>
        <v>北康沟</v>
      </c>
      <c r="C11" t="str">
        <f>'附件3 规划内'!C13</f>
        <v>水利</v>
      </c>
      <c r="D11" t="str">
        <f>'附件3 规划内'!D13</f>
        <v>对水毁堤防进行加固。</v>
      </c>
      <c r="E11">
        <f>'附件3 规划内'!E13</f>
        <v>816</v>
      </c>
      <c r="F11">
        <f>'附件3 规划内'!F13</f>
        <v>50</v>
      </c>
      <c r="G11">
        <f>'附件3 规划内'!G13</f>
        <v>766</v>
      </c>
      <c r="H11">
        <f>'附件3 规划内'!H13</f>
        <v>0</v>
      </c>
      <c r="I11" t="str">
        <f>'附件3 规划内'!I13</f>
        <v>完工</v>
      </c>
      <c r="J11">
        <f>'附件3 规划内'!J13</f>
        <v>816</v>
      </c>
      <c r="K11">
        <f>'附件3 规划内'!K13</f>
        <v>766</v>
      </c>
      <c r="L11">
        <f>'附件3 规划内'!L13</f>
        <v>0</v>
      </c>
      <c r="M11" s="26">
        <f>'附件3 规划内'!M13</f>
        <v>44571</v>
      </c>
      <c r="N11" s="26">
        <f>'附件3 规划内'!N13</f>
        <v>44696</v>
      </c>
      <c r="O11" t="str">
        <f>'附件3 规划内'!O13</f>
        <v>市水利局</v>
      </c>
      <c r="P11" t="str">
        <f>'附件3 规划内'!P13</f>
        <v>尉氏县</v>
      </c>
      <c r="Q11">
        <f>'附件3 规划内'!Q13</f>
        <v>0</v>
      </c>
      <c r="R11">
        <f>'附件3 规划内'!R13</f>
        <v>0</v>
      </c>
      <c r="T11">
        <f>'附件4 规划外'!A47</f>
        <v>57</v>
      </c>
      <c r="U11" t="str">
        <f>'附件4 规划外'!B47</f>
        <v>尉氏县尉北科技食品园污水处理厂灾后恢复重建工程</v>
      </c>
      <c r="V11" t="str">
        <f>'附件4 规划外'!C47</f>
        <v>市政</v>
      </c>
      <c r="W11" t="str">
        <f>'附件4 规划外'!D47</f>
        <v>污水处理厂设备维护及更换</v>
      </c>
      <c r="X11">
        <f>'附件4 规划外'!E47</f>
        <v>300</v>
      </c>
      <c r="Y11">
        <f>'附件4 规划外'!F47</f>
        <v>300</v>
      </c>
      <c r="Z11">
        <f>'附件4 规划外'!G47</f>
        <v>0</v>
      </c>
      <c r="AA11">
        <f>'附件4 规划外'!H47</f>
        <v>0</v>
      </c>
      <c r="AB11" t="str">
        <f>'附件4 规划外'!I47</f>
        <v>完工</v>
      </c>
      <c r="AC11">
        <f>'附件4 规划外'!J47</f>
        <v>300</v>
      </c>
      <c r="AD11" t="str">
        <f>'附件4 规划外'!K47</f>
        <v/>
      </c>
      <c r="AE11" t="str">
        <f>'附件4 规划外'!L47</f>
        <v>已完工</v>
      </c>
      <c r="AF11">
        <f>'附件4 规划外'!M47</f>
        <v>44409</v>
      </c>
      <c r="AG11">
        <f>'附件4 规划外'!N47</f>
        <v>44531</v>
      </c>
      <c r="AH11" t="str">
        <f>'附件4 规划外'!O47</f>
        <v>市城管局</v>
      </c>
      <c r="AI11" t="str">
        <f>'附件4 规划外'!P47</f>
        <v>尉氏县</v>
      </c>
      <c r="AJ11">
        <f>'附件4 规划外'!Q47</f>
        <v>0</v>
      </c>
      <c r="AK11">
        <f>'附件4 规划外'!R47</f>
        <v>0</v>
      </c>
    </row>
    <row r="12" hidden="1" spans="1:37">
      <c r="A12">
        <f>'附件3 规划内'!A21</f>
        <v>20</v>
      </c>
      <c r="B12" t="str">
        <f>'附件3 规划内'!B21</f>
        <v>耿武沟刘庄闸</v>
      </c>
      <c r="C12" t="str">
        <f>'附件3 规划内'!C21</f>
        <v>水利</v>
      </c>
      <c r="D12" t="str">
        <f>'附件3 规划内'!D21</f>
        <v>闸室整体损坏修复</v>
      </c>
      <c r="E12">
        <f>'附件3 规划内'!E21</f>
        <v>8</v>
      </c>
      <c r="F12">
        <f>'附件3 规划内'!F21</f>
        <v>0</v>
      </c>
      <c r="G12">
        <f>'附件3 规划内'!G21</f>
        <v>8</v>
      </c>
      <c r="H12">
        <f>'附件3 规划内'!H21</f>
        <v>0</v>
      </c>
      <c r="I12" t="str">
        <f>'附件3 规划内'!I21</f>
        <v>完工</v>
      </c>
      <c r="J12">
        <f>'附件3 规划内'!J21</f>
        <v>8</v>
      </c>
      <c r="K12">
        <f>'附件3 规划内'!K21</f>
        <v>8</v>
      </c>
      <c r="L12">
        <f>'附件3 规划内'!L21</f>
        <v>0</v>
      </c>
      <c r="M12" s="26">
        <f>'附件3 规划内'!M21</f>
        <v>44531</v>
      </c>
      <c r="N12" s="26">
        <f>'附件3 规划内'!N21</f>
        <v>44696</v>
      </c>
      <c r="O12" t="str">
        <f>'附件3 规划内'!O21</f>
        <v>市水利局</v>
      </c>
      <c r="P12" t="str">
        <f>'附件3 规划内'!P21</f>
        <v>尉氏县</v>
      </c>
      <c r="Q12">
        <f>'附件3 规划内'!Q21</f>
        <v>0</v>
      </c>
      <c r="R12">
        <f>'附件3 规划内'!R21</f>
        <v>0</v>
      </c>
      <c r="T12">
        <f>'附件4 规划外'!A122</f>
        <v>135</v>
      </c>
      <c r="U12" t="str">
        <f>'附件4 规划外'!B122</f>
        <v>尉氏县伟星塑料制品有限公司</v>
      </c>
      <c r="V12" t="str">
        <f>'附件4 规划外'!C122</f>
        <v>产业</v>
      </c>
      <c r="W12" t="str">
        <f>'附件4 规划外'!D122</f>
        <v>注塑机5台</v>
      </c>
      <c r="X12">
        <f>'附件4 规划外'!E122</f>
        <v>3</v>
      </c>
      <c r="Y12">
        <f>'附件4 规划外'!F122</f>
        <v>3</v>
      </c>
      <c r="Z12">
        <f>'附件4 规划外'!G122</f>
        <v>0</v>
      </c>
      <c r="AA12">
        <f>'附件4 规划外'!H122</f>
        <v>0</v>
      </c>
      <c r="AB12" t="str">
        <f>'附件4 规划外'!I122</f>
        <v>完工</v>
      </c>
      <c r="AC12">
        <f>'附件4 规划外'!J122</f>
        <v>3</v>
      </c>
      <c r="AD12" t="str">
        <f>'附件4 规划外'!K122</f>
        <v/>
      </c>
      <c r="AE12" t="str">
        <f>'附件4 规划外'!L122</f>
        <v>竣工</v>
      </c>
      <c r="AF12">
        <f>'附件4 规划外'!M122</f>
        <v>44378</v>
      </c>
      <c r="AG12">
        <f>'附件4 规划外'!N122</f>
        <v>44440</v>
      </c>
      <c r="AH12" t="str">
        <f>'附件4 规划外'!O122</f>
        <v>市工业和信息化局</v>
      </c>
      <c r="AI12" t="str">
        <f>'附件4 规划外'!P122</f>
        <v>尉氏县</v>
      </c>
      <c r="AJ12">
        <f>'附件4 规划外'!Q122</f>
        <v>0</v>
      </c>
      <c r="AK12">
        <f>'附件4 规划外'!R122</f>
        <v>0</v>
      </c>
    </row>
    <row r="13" hidden="1" spans="1:37">
      <c r="A13">
        <f>'附件3 规划内'!A22</f>
        <v>21</v>
      </c>
      <c r="B13" t="str">
        <f>'附件3 规划内'!B22</f>
        <v>除害河马口闸</v>
      </c>
      <c r="C13" t="str">
        <f>'附件3 规划内'!C22</f>
        <v>水利</v>
      </c>
      <c r="D13" t="str">
        <f>'附件3 规划内'!D22</f>
        <v>翼墙损毁、闸门缺失，启闭设施缺失修复</v>
      </c>
      <c r="E13">
        <f>'附件3 规划内'!E22</f>
        <v>8</v>
      </c>
      <c r="F13">
        <f>'附件3 规划内'!F22</f>
        <v>0</v>
      </c>
      <c r="G13">
        <f>'附件3 规划内'!G22</f>
        <v>8</v>
      </c>
      <c r="H13">
        <f>'附件3 规划内'!H22</f>
        <v>0</v>
      </c>
      <c r="I13" t="str">
        <f>'附件3 规划内'!I22</f>
        <v>完工</v>
      </c>
      <c r="J13">
        <f>'附件3 规划内'!J22</f>
        <v>8</v>
      </c>
      <c r="K13">
        <f>'附件3 规划内'!K22</f>
        <v>8</v>
      </c>
      <c r="L13">
        <f>'附件3 规划内'!L22</f>
        <v>0</v>
      </c>
      <c r="M13" s="26">
        <f>'附件3 规划内'!M22</f>
        <v>44531</v>
      </c>
      <c r="N13" s="26">
        <f>'附件3 规划内'!N22</f>
        <v>44696</v>
      </c>
      <c r="O13" t="str">
        <f>'附件3 规划内'!O22</f>
        <v>市水利局</v>
      </c>
      <c r="P13" t="str">
        <f>'附件3 规划内'!P22</f>
        <v>尉氏县</v>
      </c>
      <c r="Q13">
        <f>'附件3 规划内'!Q22</f>
        <v>0</v>
      </c>
      <c r="R13">
        <f>'附件3 规划内'!R22</f>
        <v>0</v>
      </c>
      <c r="T13">
        <f>'附件4 规划外'!A123</f>
        <v>136</v>
      </c>
      <c r="U13" t="str">
        <f>'附件4 规划外'!B123</f>
        <v>尉氏县新开元服饰有限公司</v>
      </c>
      <c r="V13" t="str">
        <f>'附件4 规划外'!C123</f>
        <v>产业</v>
      </c>
      <c r="W13" t="str">
        <f>'附件4 规划外'!D123</f>
        <v>德国袜机迈兹CC-411 2台</v>
      </c>
      <c r="X13">
        <f>'附件4 规划外'!E123</f>
        <v>2.94</v>
      </c>
      <c r="Y13">
        <f>'附件4 规划外'!F123</f>
        <v>2.94</v>
      </c>
      <c r="Z13">
        <f>'附件4 规划外'!G123</f>
        <v>0</v>
      </c>
      <c r="AA13">
        <f>'附件4 规划外'!H123</f>
        <v>0</v>
      </c>
      <c r="AB13" t="str">
        <f>'附件4 规划外'!I123</f>
        <v>完工</v>
      </c>
      <c r="AC13">
        <f>'附件4 规划外'!J123</f>
        <v>2.94</v>
      </c>
      <c r="AD13" t="str">
        <f>'附件4 规划外'!K123</f>
        <v/>
      </c>
      <c r="AE13" t="str">
        <f>'附件4 规划外'!L123</f>
        <v>竣工</v>
      </c>
      <c r="AF13">
        <f>'附件4 规划外'!M123</f>
        <v>44378</v>
      </c>
      <c r="AG13">
        <f>'附件4 规划外'!N123</f>
        <v>44440</v>
      </c>
      <c r="AH13" t="str">
        <f>'附件4 规划外'!O123</f>
        <v>市工业和信息化局</v>
      </c>
      <c r="AI13" t="str">
        <f>'附件4 规划外'!P123</f>
        <v>尉氏县</v>
      </c>
      <c r="AJ13">
        <f>'附件4 规划外'!Q123</f>
        <v>0</v>
      </c>
      <c r="AK13">
        <f>'附件4 规划外'!R123</f>
        <v>0</v>
      </c>
    </row>
    <row r="14" hidden="1" spans="1:37">
      <c r="A14">
        <f>'附件3 规划内'!A23</f>
        <v>22</v>
      </c>
      <c r="B14" t="str">
        <f>'附件3 规划内'!B23</f>
        <v>贾黎沟西黎岗闸</v>
      </c>
      <c r="C14" t="str">
        <f>'附件3 规划内'!C23</f>
        <v>水利</v>
      </c>
      <c r="D14" t="str">
        <f>'附件3 规划内'!D23</f>
        <v>闸室整体损坏修复</v>
      </c>
      <c r="E14">
        <f>'附件3 规划内'!E23</f>
        <v>8</v>
      </c>
      <c r="F14">
        <f>'附件3 规划内'!F23</f>
        <v>0</v>
      </c>
      <c r="G14">
        <f>'附件3 规划内'!G23</f>
        <v>8</v>
      </c>
      <c r="H14">
        <f>'附件3 规划内'!H23</f>
        <v>0</v>
      </c>
      <c r="I14" t="str">
        <f>'附件3 规划内'!I23</f>
        <v>完工</v>
      </c>
      <c r="J14">
        <f>'附件3 规划内'!J23</f>
        <v>8</v>
      </c>
      <c r="K14">
        <f>'附件3 规划内'!K23</f>
        <v>8</v>
      </c>
      <c r="L14">
        <f>'附件3 规划内'!L23</f>
        <v>0</v>
      </c>
      <c r="M14" s="26">
        <f>'附件3 规划内'!M23</f>
        <v>44531</v>
      </c>
      <c r="N14" s="26">
        <f>'附件3 规划内'!N23</f>
        <v>44696</v>
      </c>
      <c r="O14" t="str">
        <f>'附件3 规划内'!O23</f>
        <v>市水利局</v>
      </c>
      <c r="P14" t="str">
        <f>'附件3 规划内'!P23</f>
        <v>尉氏县</v>
      </c>
      <c r="Q14">
        <f>'附件3 规划内'!Q23</f>
        <v>0</v>
      </c>
      <c r="R14">
        <f>'附件3 规划内'!R23</f>
        <v>0</v>
      </c>
      <c r="T14">
        <f>'附件4 规划外'!A124</f>
        <v>137</v>
      </c>
      <c r="U14" t="str">
        <f>'附件4 规划外'!B124</f>
        <v>尉氏县鑫泰源纺织有限公司</v>
      </c>
      <c r="V14" t="str">
        <f>'附件4 规划外'!C124</f>
        <v>产业</v>
      </c>
      <c r="W14" t="str">
        <f>'附件4 规划外'!D124</f>
        <v>前纺设备28台，细纱设备58台，自动络筒机4套</v>
      </c>
      <c r="X14">
        <f>'附件4 规划外'!E124</f>
        <v>257</v>
      </c>
      <c r="Y14">
        <f>'附件4 规划外'!F124</f>
        <v>257</v>
      </c>
      <c r="Z14">
        <f>'附件4 规划外'!G124</f>
        <v>0</v>
      </c>
      <c r="AA14">
        <f>'附件4 规划外'!H124</f>
        <v>0</v>
      </c>
      <c r="AB14" t="str">
        <f>'附件4 规划外'!I124</f>
        <v>完工</v>
      </c>
      <c r="AC14">
        <f>'附件4 规划外'!J124</f>
        <v>257</v>
      </c>
      <c r="AD14" t="str">
        <f>'附件4 规划外'!K124</f>
        <v/>
      </c>
      <c r="AE14" t="str">
        <f>'附件4 规划外'!L124</f>
        <v>竣工</v>
      </c>
      <c r="AF14">
        <f>'附件4 规划外'!M124</f>
        <v>44378</v>
      </c>
      <c r="AG14">
        <f>'附件4 规划外'!N124</f>
        <v>44440</v>
      </c>
      <c r="AH14" t="str">
        <f>'附件4 规划外'!O124</f>
        <v>市工业和信息化局</v>
      </c>
      <c r="AI14" t="str">
        <f>'附件4 规划外'!P124</f>
        <v>尉氏县</v>
      </c>
      <c r="AJ14">
        <f>'附件4 规划外'!Q124</f>
        <v>0</v>
      </c>
      <c r="AK14">
        <f>'附件4 规划外'!R124</f>
        <v>0</v>
      </c>
    </row>
    <row r="15" hidden="1" spans="1:37">
      <c r="A15">
        <f>'附件3 规划内'!A24</f>
        <v>23</v>
      </c>
      <c r="B15" t="str">
        <f>'附件3 规划内'!B24</f>
        <v>小营闸</v>
      </c>
      <c r="C15" t="str">
        <f>'附件3 规划内'!C24</f>
        <v>水利</v>
      </c>
      <c r="D15" t="str">
        <f>'附件3 规划内'!D24</f>
        <v>启闭设施缺失修复</v>
      </c>
      <c r="E15">
        <f>'附件3 规划内'!E24</f>
        <v>8</v>
      </c>
      <c r="F15">
        <f>'附件3 规划内'!F24</f>
        <v>0</v>
      </c>
      <c r="G15">
        <f>'附件3 规划内'!G24</f>
        <v>8</v>
      </c>
      <c r="H15">
        <f>'附件3 规划内'!H24</f>
        <v>0</v>
      </c>
      <c r="I15" t="str">
        <f>'附件3 规划内'!I24</f>
        <v>完工</v>
      </c>
      <c r="J15">
        <f>'附件3 规划内'!J24</f>
        <v>8</v>
      </c>
      <c r="K15">
        <f>'附件3 规划内'!K24</f>
        <v>8</v>
      </c>
      <c r="L15">
        <f>'附件3 规划内'!L24</f>
        <v>0</v>
      </c>
      <c r="M15" s="26">
        <f>'附件3 规划内'!M24</f>
        <v>44531</v>
      </c>
      <c r="N15" s="26">
        <f>'附件3 规划内'!N24</f>
        <v>44696</v>
      </c>
      <c r="O15" t="str">
        <f>'附件3 规划内'!O24</f>
        <v>市水利局</v>
      </c>
      <c r="P15" t="str">
        <f>'附件3 规划内'!P24</f>
        <v>尉氏县</v>
      </c>
      <c r="Q15">
        <f>'附件3 规划内'!Q24</f>
        <v>0</v>
      </c>
      <c r="R15">
        <f>'附件3 规划内'!R24</f>
        <v>0</v>
      </c>
      <c r="T15">
        <f>'附件4 规划外'!A125</f>
        <v>138</v>
      </c>
      <c r="U15" t="str">
        <f>'附件4 规划外'!B125</f>
        <v>河南华地肥业科技有限公司</v>
      </c>
      <c r="V15" t="str">
        <f>'附件4 规划外'!C125</f>
        <v>产业</v>
      </c>
      <c r="W15" t="str">
        <f>'附件4 规划外'!D125</f>
        <v>投料平台：称重式配料系统LCS-1000:38万
机械手M410IC：26万</v>
      </c>
      <c r="X15">
        <f>'附件4 规划外'!E125</f>
        <v>26.32</v>
      </c>
      <c r="Y15">
        <f>'附件4 规划外'!F125</f>
        <v>26.32</v>
      </c>
      <c r="Z15">
        <f>'附件4 规划外'!G125</f>
        <v>0</v>
      </c>
      <c r="AA15">
        <f>'附件4 规划外'!H125</f>
        <v>0</v>
      </c>
      <c r="AB15" t="str">
        <f>'附件4 规划外'!I125</f>
        <v>完工</v>
      </c>
      <c r="AC15">
        <f>'附件4 规划外'!J125</f>
        <v>26.32</v>
      </c>
      <c r="AD15" t="str">
        <f>'附件4 规划外'!K125</f>
        <v/>
      </c>
      <c r="AE15" t="str">
        <f>'附件4 规划外'!L125</f>
        <v>竣工</v>
      </c>
      <c r="AF15">
        <f>'附件4 规划外'!M125</f>
        <v>44378</v>
      </c>
      <c r="AG15">
        <f>'附件4 规划外'!N125</f>
        <v>44440</v>
      </c>
      <c r="AH15" t="str">
        <f>'附件4 规划外'!O125</f>
        <v>市工业和信息化局</v>
      </c>
      <c r="AI15" t="str">
        <f>'附件4 规划外'!P125</f>
        <v>尉氏县</v>
      </c>
      <c r="AJ15">
        <f>'附件4 规划外'!Q125</f>
        <v>0</v>
      </c>
      <c r="AK15">
        <f>'附件4 规划外'!R125</f>
        <v>0</v>
      </c>
    </row>
    <row r="16" hidden="1" spans="1:37">
      <c r="A16">
        <f>'附件3 规划内'!A25</f>
        <v>24</v>
      </c>
      <c r="B16" t="str">
        <f>'附件3 规划内'!B25</f>
        <v>文家闸2</v>
      </c>
      <c r="C16" t="str">
        <f>'附件3 规划内'!C25</f>
        <v>水利</v>
      </c>
      <c r="D16" t="str">
        <f>'附件3 规划内'!D25</f>
        <v>闸室水毁修复</v>
      </c>
      <c r="E16">
        <f>'附件3 规划内'!E25</f>
        <v>8</v>
      </c>
      <c r="F16">
        <f>'附件3 规划内'!F25</f>
        <v>0</v>
      </c>
      <c r="G16">
        <f>'附件3 规划内'!G25</f>
        <v>8</v>
      </c>
      <c r="H16">
        <f>'附件3 规划内'!H25</f>
        <v>0</v>
      </c>
      <c r="I16" t="str">
        <f>'附件3 规划内'!I25</f>
        <v>完工</v>
      </c>
      <c r="J16">
        <f>'附件3 规划内'!J25</f>
        <v>8</v>
      </c>
      <c r="K16">
        <f>'附件3 规划内'!K25</f>
        <v>8</v>
      </c>
      <c r="L16">
        <f>'附件3 规划内'!L25</f>
        <v>0</v>
      </c>
      <c r="M16" s="26">
        <f>'附件3 规划内'!M25</f>
        <v>44531</v>
      </c>
      <c r="N16" s="26">
        <f>'附件3 规划内'!N25</f>
        <v>44696</v>
      </c>
      <c r="O16" t="str">
        <f>'附件3 规划内'!O25</f>
        <v>市水利局</v>
      </c>
      <c r="P16" t="str">
        <f>'附件3 规划内'!P25</f>
        <v>尉氏县</v>
      </c>
      <c r="Q16">
        <f>'附件3 规划内'!Q25</f>
        <v>0</v>
      </c>
      <c r="R16">
        <f>'附件3 规划内'!R25</f>
        <v>0</v>
      </c>
      <c r="T16">
        <f>'附件4 规划外'!A126</f>
        <v>139</v>
      </c>
      <c r="U16" t="str">
        <f>'附件4 规划外'!B126</f>
        <v>开封市森簏服饰有限公司</v>
      </c>
      <c r="V16" t="str">
        <f>'附件4 规划外'!C126</f>
        <v>产业</v>
      </c>
      <c r="W16" t="str">
        <f>'附件4 规划外'!D126</f>
        <v>自动裁剪、烫台</v>
      </c>
      <c r="X16">
        <f>'附件4 规划外'!E126</f>
        <v>45</v>
      </c>
      <c r="Y16">
        <f>'附件4 规划外'!F126</f>
        <v>45</v>
      </c>
      <c r="Z16">
        <f>'附件4 规划外'!G126</f>
        <v>0</v>
      </c>
      <c r="AA16">
        <f>'附件4 规划外'!H126</f>
        <v>0</v>
      </c>
      <c r="AB16" t="str">
        <f>'附件4 规划外'!I126</f>
        <v>完工</v>
      </c>
      <c r="AC16">
        <f>'附件4 规划外'!J126</f>
        <v>45</v>
      </c>
      <c r="AD16" t="str">
        <f>'附件4 规划外'!K126</f>
        <v/>
      </c>
      <c r="AE16" t="str">
        <f>'附件4 规划外'!L126</f>
        <v>竣工</v>
      </c>
      <c r="AF16">
        <f>'附件4 规划外'!M126</f>
        <v>44378</v>
      </c>
      <c r="AG16">
        <f>'附件4 规划外'!N126</f>
        <v>44440</v>
      </c>
      <c r="AH16" t="str">
        <f>'附件4 规划外'!O126</f>
        <v>市工业和信息化局</v>
      </c>
      <c r="AI16" t="str">
        <f>'附件4 规划外'!P126</f>
        <v>尉氏县</v>
      </c>
      <c r="AJ16">
        <f>'附件4 规划外'!Q126</f>
        <v>0</v>
      </c>
      <c r="AK16">
        <f>'附件4 规划外'!R126</f>
        <v>0</v>
      </c>
    </row>
    <row r="17" hidden="1" spans="1:37">
      <c r="A17">
        <f>'附件3 规划内'!A26</f>
        <v>25</v>
      </c>
      <c r="B17" t="str">
        <f>'附件3 规划内'!B26</f>
        <v>后黄闸</v>
      </c>
      <c r="C17" t="str">
        <f>'附件3 规划内'!C26</f>
        <v>水利</v>
      </c>
      <c r="D17" t="str">
        <f>'附件3 规划内'!D26</f>
        <v>闸室水毁修复</v>
      </c>
      <c r="E17">
        <f>'附件3 规划内'!E26</f>
        <v>8</v>
      </c>
      <c r="F17">
        <f>'附件3 规划内'!F26</f>
        <v>0</v>
      </c>
      <c r="G17">
        <f>'附件3 规划内'!G26</f>
        <v>8</v>
      </c>
      <c r="H17">
        <f>'附件3 规划内'!H26</f>
        <v>0</v>
      </c>
      <c r="I17" t="str">
        <f>'附件3 规划内'!I26</f>
        <v>完工</v>
      </c>
      <c r="J17">
        <f>'附件3 规划内'!J26</f>
        <v>8</v>
      </c>
      <c r="K17">
        <f>'附件3 规划内'!K26</f>
        <v>8</v>
      </c>
      <c r="L17">
        <f>'附件3 规划内'!L26</f>
        <v>0</v>
      </c>
      <c r="M17" s="26">
        <f>'附件3 规划内'!M26</f>
        <v>44531</v>
      </c>
      <c r="N17" s="26">
        <f>'附件3 规划内'!N26</f>
        <v>44696</v>
      </c>
      <c r="O17" t="str">
        <f>'附件3 规划内'!O26</f>
        <v>市水利局</v>
      </c>
      <c r="P17" t="str">
        <f>'附件3 规划内'!P26</f>
        <v>尉氏县</v>
      </c>
      <c r="Q17">
        <f>'附件3 规划内'!Q26</f>
        <v>0</v>
      </c>
      <c r="R17">
        <f>'附件3 规划内'!R26</f>
        <v>0</v>
      </c>
      <c r="T17">
        <f>'附件4 规划外'!A127</f>
        <v>140</v>
      </c>
      <c r="U17" t="str">
        <f>'附件4 规划外'!B127</f>
        <v>尉氏县飞达橡胶制品有限公司</v>
      </c>
      <c r="V17" t="str">
        <f>'附件4 规划外'!C127</f>
        <v>产业</v>
      </c>
      <c r="W17" t="str">
        <f>'附件4 规划外'!D127</f>
        <v>3台硫化炉</v>
      </c>
      <c r="X17">
        <f>'附件4 规划外'!E127</f>
        <v>9.158</v>
      </c>
      <c r="Y17">
        <f>'附件4 规划外'!F127</f>
        <v>9.158</v>
      </c>
      <c r="Z17">
        <f>'附件4 规划外'!G127</f>
        <v>0</v>
      </c>
      <c r="AA17">
        <f>'附件4 规划外'!H127</f>
        <v>0</v>
      </c>
      <c r="AB17" t="str">
        <f>'附件4 规划外'!I127</f>
        <v>完工</v>
      </c>
      <c r="AC17">
        <f>'附件4 规划外'!J127</f>
        <v>9.158</v>
      </c>
      <c r="AD17" t="str">
        <f>'附件4 规划外'!K127</f>
        <v/>
      </c>
      <c r="AE17" t="str">
        <f>'附件4 规划外'!L127</f>
        <v>竣工</v>
      </c>
      <c r="AF17">
        <f>'附件4 规划外'!M127</f>
        <v>44378</v>
      </c>
      <c r="AG17">
        <f>'附件4 规划外'!N127</f>
        <v>44440</v>
      </c>
      <c r="AH17" t="str">
        <f>'附件4 规划外'!O127</f>
        <v>市工业和信息化局</v>
      </c>
      <c r="AI17" t="str">
        <f>'附件4 规划外'!P127</f>
        <v>尉氏县</v>
      </c>
      <c r="AJ17">
        <f>'附件4 规划外'!Q127</f>
        <v>0</v>
      </c>
      <c r="AK17">
        <f>'附件4 规划外'!R127</f>
        <v>0</v>
      </c>
    </row>
    <row r="18" hidden="1" spans="1:37">
      <c r="A18">
        <f>'附件3 规划内'!A27</f>
        <v>26</v>
      </c>
      <c r="B18" t="str">
        <f>'附件3 规划内'!B27</f>
        <v>明改沟防洪排涝闸</v>
      </c>
      <c r="C18" t="str">
        <f>'附件3 规划内'!C27</f>
        <v>水利</v>
      </c>
      <c r="D18" t="str">
        <f>'附件3 规划内'!D27</f>
        <v>启闭机、闸门、电机损毁严重修复</v>
      </c>
      <c r="E18">
        <f>'附件3 规划内'!E27</f>
        <v>10</v>
      </c>
      <c r="F18">
        <f>'附件3 规划内'!F27</f>
        <v>0</v>
      </c>
      <c r="G18">
        <f>'附件3 规划内'!G27</f>
        <v>10</v>
      </c>
      <c r="H18">
        <f>'附件3 规划内'!H27</f>
        <v>0</v>
      </c>
      <c r="I18" t="str">
        <f>'附件3 规划内'!I27</f>
        <v>完工</v>
      </c>
      <c r="J18">
        <f>'附件3 规划内'!J27</f>
        <v>10</v>
      </c>
      <c r="K18">
        <f>'附件3 规划内'!K27</f>
        <v>10</v>
      </c>
      <c r="L18">
        <f>'附件3 规划内'!L27</f>
        <v>0</v>
      </c>
      <c r="M18" s="26">
        <f>'附件3 规划内'!M27</f>
        <v>44531</v>
      </c>
      <c r="N18" s="26">
        <f>'附件3 规划内'!N27</f>
        <v>44696</v>
      </c>
      <c r="O18" t="str">
        <f>'附件3 规划内'!O27</f>
        <v>市水利局</v>
      </c>
      <c r="P18" t="str">
        <f>'附件3 规划内'!P27</f>
        <v>尉氏县</v>
      </c>
      <c r="Q18">
        <f>'附件3 规划内'!Q27</f>
        <v>0</v>
      </c>
      <c r="R18">
        <f>'附件3 规划内'!R27</f>
        <v>0</v>
      </c>
      <c r="T18">
        <f>'附件4 规划外'!A128</f>
        <v>141</v>
      </c>
      <c r="U18" t="str">
        <f>'附件4 规划外'!B128</f>
        <v>河南省金丰达纺织有限公司</v>
      </c>
      <c r="V18" t="str">
        <f>'附件4 规划外'!C128</f>
        <v>产业</v>
      </c>
      <c r="W18" t="str">
        <f>'附件4 规划外'!D128</f>
        <v>高压计量器1台、高压线及安装费、变频器4件、触摸屏1件、编码器2件、紫光灯管6个、荧光灯管12个、LED灯管1个、梳棉机变频器1台、梳棉机PLC1台、自络机三合一电源板8块、电清连接板6块、电源板4块</v>
      </c>
      <c r="X18">
        <f>'附件4 规划外'!E128</f>
        <v>2</v>
      </c>
      <c r="Y18">
        <f>'附件4 规划外'!F128</f>
        <v>2</v>
      </c>
      <c r="Z18">
        <f>'附件4 规划外'!G128</f>
        <v>0</v>
      </c>
      <c r="AA18">
        <f>'附件4 规划外'!H128</f>
        <v>0</v>
      </c>
      <c r="AB18" t="str">
        <f>'附件4 规划外'!I128</f>
        <v>完工</v>
      </c>
      <c r="AC18">
        <f>'附件4 规划外'!J128</f>
        <v>2</v>
      </c>
      <c r="AD18" t="str">
        <f>'附件4 规划外'!K128</f>
        <v/>
      </c>
      <c r="AE18" t="str">
        <f>'附件4 规划外'!L128</f>
        <v>竣工</v>
      </c>
      <c r="AF18">
        <f>'附件4 规划外'!M128</f>
        <v>44378</v>
      </c>
      <c r="AG18">
        <f>'附件4 规划外'!N128</f>
        <v>44440</v>
      </c>
      <c r="AH18" t="str">
        <f>'附件4 规划外'!O128</f>
        <v>市工业和信息化局</v>
      </c>
      <c r="AI18" t="str">
        <f>'附件4 规划外'!P128</f>
        <v>尉氏县</v>
      </c>
      <c r="AJ18">
        <f>'附件4 规划外'!Q128</f>
        <v>0</v>
      </c>
      <c r="AK18">
        <f>'附件4 规划外'!R128</f>
        <v>0</v>
      </c>
    </row>
    <row r="19" hidden="1" spans="1:37">
      <c r="A19">
        <f>'附件3 规划内'!A28</f>
        <v>27</v>
      </c>
      <c r="B19" t="str">
        <f>'附件3 规划内'!B28</f>
        <v>刘麦河闸</v>
      </c>
      <c r="C19" t="str">
        <f>'附件3 规划内'!C28</f>
        <v>水利</v>
      </c>
      <c r="D19" t="str">
        <f>'附件3 规划内'!D28</f>
        <v>闸室、上下游翼墙水毁修复</v>
      </c>
      <c r="E19">
        <f>'附件3 规划内'!E28</f>
        <v>50</v>
      </c>
      <c r="F19">
        <f>'附件3 规划内'!F28</f>
        <v>0</v>
      </c>
      <c r="G19">
        <f>'附件3 规划内'!G28</f>
        <v>50</v>
      </c>
      <c r="H19">
        <f>'附件3 规划内'!H28</f>
        <v>0</v>
      </c>
      <c r="I19" t="str">
        <f>'附件3 规划内'!I28</f>
        <v>完工</v>
      </c>
      <c r="J19">
        <f>'附件3 规划内'!J28</f>
        <v>50</v>
      </c>
      <c r="K19">
        <f>'附件3 规划内'!K28</f>
        <v>50</v>
      </c>
      <c r="L19">
        <f>'附件3 规划内'!L28</f>
        <v>0</v>
      </c>
      <c r="M19" s="26">
        <f>'附件3 规划内'!M28</f>
        <v>44531</v>
      </c>
      <c r="N19" s="26">
        <f>'附件3 规划内'!N28</f>
        <v>44696</v>
      </c>
      <c r="O19" t="str">
        <f>'附件3 规划内'!O28</f>
        <v>市水利局</v>
      </c>
      <c r="P19" t="str">
        <f>'附件3 规划内'!P28</f>
        <v>尉氏县</v>
      </c>
      <c r="Q19">
        <f>'附件3 规划内'!Q28</f>
        <v>0</v>
      </c>
      <c r="R19">
        <f>'附件3 规划内'!R28</f>
        <v>0</v>
      </c>
      <c r="T19">
        <f>'附件4 规划外'!A129</f>
        <v>142</v>
      </c>
      <c r="U19" t="str">
        <f>'附件4 规划外'!B129</f>
        <v>河南省金盛达实业有限公司</v>
      </c>
      <c r="V19" t="str">
        <f>'附件4 规划外'!C129</f>
        <v>产业</v>
      </c>
      <c r="W19" t="str">
        <f>'附件4 规划外'!D129</f>
        <v>石材红外桥式切割机设备，铝型材压型机2台</v>
      </c>
      <c r="X19">
        <f>'附件4 规划外'!E129</f>
        <v>19.1822</v>
      </c>
      <c r="Y19">
        <f>'附件4 规划外'!F129</f>
        <v>19.1822</v>
      </c>
      <c r="Z19">
        <f>'附件4 规划外'!G129</f>
        <v>0</v>
      </c>
      <c r="AA19">
        <f>'附件4 规划外'!H129</f>
        <v>0</v>
      </c>
      <c r="AB19" t="str">
        <f>'附件4 规划外'!I129</f>
        <v>完工</v>
      </c>
      <c r="AC19">
        <f>'附件4 规划外'!J129</f>
        <v>19.1822</v>
      </c>
      <c r="AD19" t="str">
        <f>'附件4 规划外'!K129</f>
        <v/>
      </c>
      <c r="AE19" t="str">
        <f>'附件4 规划外'!L129</f>
        <v>竣工</v>
      </c>
      <c r="AF19">
        <f>'附件4 规划外'!M129</f>
        <v>44378</v>
      </c>
      <c r="AG19">
        <f>'附件4 规划外'!N129</f>
        <v>44440</v>
      </c>
      <c r="AH19" t="str">
        <f>'附件4 规划外'!O129</f>
        <v>市工业和信息化局</v>
      </c>
      <c r="AI19" t="str">
        <f>'附件4 规划外'!P129</f>
        <v>尉氏县</v>
      </c>
      <c r="AJ19">
        <f>'附件4 规划外'!Q129</f>
        <v>0</v>
      </c>
      <c r="AK19">
        <f>'附件4 规划外'!R129</f>
        <v>0</v>
      </c>
    </row>
    <row r="20" hidden="1" spans="1:37">
      <c r="A20">
        <f>'附件3 规划内'!A29</f>
        <v>28</v>
      </c>
      <c r="B20" t="str">
        <f>'附件3 规划内'!B29</f>
        <v>密家段1</v>
      </c>
      <c r="C20" t="str">
        <f>'附件3 规划内'!C29</f>
        <v>水利</v>
      </c>
      <c r="D20" t="str">
        <f>'附件3 规划内'!D29</f>
        <v>闸室、上下游翼墙水毁修复</v>
      </c>
      <c r="E20">
        <f>'附件3 规划内'!E29</f>
        <v>8</v>
      </c>
      <c r="F20">
        <f>'附件3 规划内'!F29</f>
        <v>0</v>
      </c>
      <c r="G20">
        <f>'附件3 规划内'!G29</f>
        <v>8</v>
      </c>
      <c r="H20">
        <f>'附件3 规划内'!H29</f>
        <v>0</v>
      </c>
      <c r="I20" t="str">
        <f>'附件3 规划内'!I29</f>
        <v>完工</v>
      </c>
      <c r="J20">
        <f>'附件3 规划内'!J29</f>
        <v>8</v>
      </c>
      <c r="K20">
        <f>'附件3 规划内'!K29</f>
        <v>8</v>
      </c>
      <c r="L20">
        <f>'附件3 规划内'!L29</f>
        <v>0</v>
      </c>
      <c r="M20" s="26">
        <f>'附件3 规划内'!M29</f>
        <v>44531</v>
      </c>
      <c r="N20" s="26">
        <f>'附件3 规划内'!N29</f>
        <v>44696</v>
      </c>
      <c r="O20" t="str">
        <f>'附件3 规划内'!O29</f>
        <v>市水利局</v>
      </c>
      <c r="P20" t="str">
        <f>'附件3 规划内'!P29</f>
        <v>尉氏县</v>
      </c>
      <c r="Q20">
        <f>'附件3 规划内'!Q29</f>
        <v>0</v>
      </c>
      <c r="R20">
        <f>'附件3 规划内'!R29</f>
        <v>0</v>
      </c>
      <c r="T20">
        <f>'附件4 规划外'!A130</f>
        <v>143</v>
      </c>
      <c r="U20" t="str">
        <f>'附件4 规划外'!B130</f>
        <v>河南省周艳水泥制品有限公司</v>
      </c>
      <c r="V20" t="str">
        <f>'附件4 规划外'!C130</f>
        <v>产业</v>
      </c>
      <c r="W20" t="str">
        <f>'附件4 规划外'!D130</f>
        <v>袋式除尘设备3台，滚焊机控制柜1台。</v>
      </c>
      <c r="X20">
        <f>'附件4 规划外'!E130</f>
        <v>49.8</v>
      </c>
      <c r="Y20">
        <f>'附件4 规划外'!F130</f>
        <v>49.8</v>
      </c>
      <c r="Z20">
        <f>'附件4 规划外'!G130</f>
        <v>0</v>
      </c>
      <c r="AA20">
        <f>'附件4 规划外'!H130</f>
        <v>0</v>
      </c>
      <c r="AB20" t="str">
        <f>'附件4 规划外'!I130</f>
        <v>完工</v>
      </c>
      <c r="AC20">
        <f>'附件4 规划外'!J130</f>
        <v>49.8</v>
      </c>
      <c r="AD20" t="str">
        <f>'附件4 规划外'!K130</f>
        <v/>
      </c>
      <c r="AE20" t="str">
        <f>'附件4 规划外'!L130</f>
        <v>竣工</v>
      </c>
      <c r="AF20">
        <f>'附件4 规划外'!M130</f>
        <v>44378</v>
      </c>
      <c r="AG20">
        <f>'附件4 规划外'!N130</f>
        <v>44440</v>
      </c>
      <c r="AH20" t="str">
        <f>'附件4 规划外'!O130</f>
        <v>市工业和信息化局</v>
      </c>
      <c r="AI20" t="str">
        <f>'附件4 规划外'!P130</f>
        <v>尉氏县</v>
      </c>
      <c r="AJ20">
        <f>'附件4 规划外'!Q130</f>
        <v>0</v>
      </c>
      <c r="AK20">
        <f>'附件4 规划外'!R130</f>
        <v>0</v>
      </c>
    </row>
    <row r="21" hidden="1" spans="1:37">
      <c r="A21">
        <f>'附件3 规划内'!A30</f>
        <v>29</v>
      </c>
      <c r="B21" t="str">
        <f>'附件3 规划内'!B30</f>
        <v>密家段2</v>
      </c>
      <c r="C21" t="str">
        <f>'附件3 规划内'!C30</f>
        <v>水利</v>
      </c>
      <c r="D21" t="str">
        <f>'附件3 规划内'!D30</f>
        <v>闸室、上下游翼墙水毁修复</v>
      </c>
      <c r="E21">
        <f>'附件3 规划内'!E30</f>
        <v>8</v>
      </c>
      <c r="F21">
        <f>'附件3 规划内'!F30</f>
        <v>0</v>
      </c>
      <c r="G21">
        <f>'附件3 规划内'!G30</f>
        <v>8</v>
      </c>
      <c r="H21">
        <f>'附件3 规划内'!H30</f>
        <v>0</v>
      </c>
      <c r="I21" t="str">
        <f>'附件3 规划内'!I30</f>
        <v>完工</v>
      </c>
      <c r="J21">
        <f>'附件3 规划内'!J30</f>
        <v>8</v>
      </c>
      <c r="K21">
        <f>'附件3 规划内'!K30</f>
        <v>8</v>
      </c>
      <c r="L21">
        <f>'附件3 规划内'!L30</f>
        <v>0</v>
      </c>
      <c r="M21" s="26">
        <f>'附件3 规划内'!M30</f>
        <v>44531</v>
      </c>
      <c r="N21" s="26">
        <f>'附件3 规划内'!N30</f>
        <v>44696</v>
      </c>
      <c r="O21" t="str">
        <f>'附件3 规划内'!O30</f>
        <v>市水利局</v>
      </c>
      <c r="P21" t="str">
        <f>'附件3 规划内'!P30</f>
        <v>尉氏县</v>
      </c>
      <c r="Q21">
        <f>'附件3 规划内'!Q30</f>
        <v>0</v>
      </c>
      <c r="R21">
        <f>'附件3 规划内'!R30</f>
        <v>0</v>
      </c>
      <c r="T21">
        <f>'附件4 规划外'!A131</f>
        <v>144</v>
      </c>
      <c r="U21" t="str">
        <f>'附件4 规划外'!B131</f>
        <v>开封市怡居康木业有限公司</v>
      </c>
      <c r="V21" t="str">
        <f>'附件4 规划外'!C131</f>
        <v>产业</v>
      </c>
      <c r="W21" t="str">
        <f>'附件4 规划外'!D131</f>
        <v>三公分门套自动成型机编号：0782494，精密推台锯编号：023105</v>
      </c>
      <c r="X21">
        <f>'附件4 规划外'!E131</f>
        <v>36.28</v>
      </c>
      <c r="Y21">
        <f>'附件4 规划外'!F131</f>
        <v>36.28</v>
      </c>
      <c r="Z21">
        <f>'附件4 规划外'!G131</f>
        <v>0</v>
      </c>
      <c r="AA21">
        <f>'附件4 规划外'!H131</f>
        <v>0</v>
      </c>
      <c r="AB21" t="str">
        <f>'附件4 规划外'!I131</f>
        <v>完工</v>
      </c>
      <c r="AC21">
        <f>'附件4 规划外'!J131</f>
        <v>36.28</v>
      </c>
      <c r="AD21" t="str">
        <f>'附件4 规划外'!K131</f>
        <v/>
      </c>
      <c r="AE21" t="str">
        <f>'附件4 规划外'!L131</f>
        <v>竣工</v>
      </c>
      <c r="AF21">
        <f>'附件4 规划外'!M131</f>
        <v>44378</v>
      </c>
      <c r="AG21">
        <f>'附件4 规划外'!N131</f>
        <v>44440</v>
      </c>
      <c r="AH21" t="str">
        <f>'附件4 规划外'!O131</f>
        <v>市工业和信息化局</v>
      </c>
      <c r="AI21" t="str">
        <f>'附件4 规划外'!P131</f>
        <v>尉氏县</v>
      </c>
      <c r="AJ21">
        <f>'附件4 规划外'!Q131</f>
        <v>0</v>
      </c>
      <c r="AK21">
        <f>'附件4 规划外'!R131</f>
        <v>0</v>
      </c>
    </row>
    <row r="22" hidden="1" spans="1:37">
      <c r="A22">
        <f>'附件3 规划内'!A33</f>
        <v>32</v>
      </c>
      <c r="B22" t="str">
        <f>'附件3 规划内'!B33</f>
        <v>赵口灌区西三干渠</v>
      </c>
      <c r="C22" t="str">
        <f>'附件3 规划内'!C33</f>
        <v>水利</v>
      </c>
      <c r="D22" t="str">
        <f>'附件3 规划内'!D33</f>
        <v>左岸岸坡及堤防坍塌10660m右岸岸坡及堤防坍塌15840m桥梁水毁13座涵3座支门损毁67个，文家支渠庄头镇文家村文家闸1座。邢庄乡西三干芦墓张村北100米右岸芦墓张支渠渠首闸1座。恢复并加固</v>
      </c>
      <c r="E22">
        <f>'附件3 规划内'!E33</f>
        <v>1302</v>
      </c>
      <c r="F22">
        <f>'附件3 规划内'!F33</f>
        <v>0</v>
      </c>
      <c r="G22">
        <f>'附件3 规划内'!G33</f>
        <v>1302</v>
      </c>
      <c r="H22">
        <f>'附件3 规划内'!H33</f>
        <v>0</v>
      </c>
      <c r="I22" t="str">
        <f>'附件3 规划内'!I33</f>
        <v>完工</v>
      </c>
      <c r="J22">
        <f>'附件3 规划内'!J33</f>
        <v>1302</v>
      </c>
      <c r="K22">
        <f>'附件3 规划内'!K33</f>
        <v>1302</v>
      </c>
      <c r="L22">
        <f>'附件3 规划内'!L33</f>
        <v>0</v>
      </c>
      <c r="M22" s="26">
        <f>'附件3 规划内'!M33</f>
        <v>44520</v>
      </c>
      <c r="N22" s="26">
        <f>'附件3 规划内'!N33</f>
        <v>44696</v>
      </c>
      <c r="O22" t="str">
        <f>'附件3 规划内'!O33</f>
        <v>市水利局</v>
      </c>
      <c r="P22" t="str">
        <f>'附件3 规划内'!P33</f>
        <v>尉氏县</v>
      </c>
      <c r="Q22">
        <f>'附件3 规划内'!Q33</f>
        <v>0</v>
      </c>
      <c r="R22">
        <f>'附件3 规划内'!R33</f>
        <v>0</v>
      </c>
      <c r="T22">
        <f>'附件4 规划外'!A132</f>
        <v>145</v>
      </c>
      <c r="U22" t="str">
        <f>'附件4 规划外'!B132</f>
        <v>尉氏县大鑫木业有限公司</v>
      </c>
      <c r="V22" t="str">
        <f>'附件4 规划外'!C132</f>
        <v>产业</v>
      </c>
      <c r="W22" t="str">
        <f>'附件4 规划外'!D132</f>
        <v>热压设备1台
冷压机1台</v>
      </c>
      <c r="X22">
        <f>'附件4 规划外'!E132</f>
        <v>121.79</v>
      </c>
      <c r="Y22">
        <f>'附件4 规划外'!F132</f>
        <v>121.79</v>
      </c>
      <c r="Z22">
        <f>'附件4 规划外'!G132</f>
        <v>0</v>
      </c>
      <c r="AA22">
        <f>'附件4 规划外'!H132</f>
        <v>0</v>
      </c>
      <c r="AB22" t="str">
        <f>'附件4 规划外'!I132</f>
        <v>完工</v>
      </c>
      <c r="AC22">
        <f>'附件4 规划外'!J132</f>
        <v>121.79</v>
      </c>
      <c r="AD22" t="str">
        <f>'附件4 规划外'!K132</f>
        <v/>
      </c>
      <c r="AE22" t="str">
        <f>'附件4 规划外'!L132</f>
        <v>竣工</v>
      </c>
      <c r="AF22">
        <f>'附件4 规划外'!M132</f>
        <v>44378</v>
      </c>
      <c r="AG22">
        <f>'附件4 规划外'!N132</f>
        <v>44440</v>
      </c>
      <c r="AH22" t="str">
        <f>'附件4 规划外'!O132</f>
        <v>市工业和信息化局</v>
      </c>
      <c r="AI22" t="str">
        <f>'附件4 规划外'!P132</f>
        <v>尉氏县</v>
      </c>
      <c r="AJ22">
        <f>'附件4 规划外'!Q132</f>
        <v>0</v>
      </c>
      <c r="AK22">
        <f>'附件4 规划外'!R132</f>
        <v>0</v>
      </c>
    </row>
    <row r="23" hidden="1" spans="1:37">
      <c r="A23">
        <f>'附件3 规划内'!A34</f>
        <v>33</v>
      </c>
      <c r="B23" t="str">
        <f>'附件3 规划内'!B34</f>
        <v>赵口灌区东三干渠</v>
      </c>
      <c r="C23" t="str">
        <f>'附件3 规划内'!C34</f>
        <v>水利</v>
      </c>
      <c r="D23" t="str">
        <f>'附件3 规划内'!D34</f>
        <v>左岸岸坡及堤防坍塌8865m右岸岸坡及堤防坍塌9135m桥梁水毁3座、涵1座、支门损毁33个。恢复并加固</v>
      </c>
      <c r="E23">
        <f>'附件3 规划内'!E34</f>
        <v>694</v>
      </c>
      <c r="F23">
        <f>'附件3 规划内'!F34</f>
        <v>0</v>
      </c>
      <c r="G23">
        <f>'附件3 规划内'!G34</f>
        <v>694</v>
      </c>
      <c r="H23">
        <f>'附件3 规划内'!H34</f>
        <v>0</v>
      </c>
      <c r="I23" t="str">
        <f>'附件3 规划内'!I34</f>
        <v>完工</v>
      </c>
      <c r="J23">
        <f>'附件3 规划内'!J34</f>
        <v>694</v>
      </c>
      <c r="K23">
        <f>'附件3 规划内'!K34</f>
        <v>694</v>
      </c>
      <c r="L23">
        <f>'附件3 规划内'!L34</f>
        <v>0</v>
      </c>
      <c r="M23" s="26">
        <f>'附件3 规划内'!M34</f>
        <v>44520</v>
      </c>
      <c r="N23" s="26">
        <f>'附件3 规划内'!N34</f>
        <v>44681</v>
      </c>
      <c r="O23" t="str">
        <f>'附件3 规划内'!O34</f>
        <v>市水利局</v>
      </c>
      <c r="P23" t="str">
        <f>'附件3 规划内'!P34</f>
        <v>尉氏县</v>
      </c>
      <c r="Q23">
        <f>'附件3 规划内'!Q34</f>
        <v>0</v>
      </c>
      <c r="R23">
        <f>'附件3 规划内'!R34</f>
        <v>0</v>
      </c>
      <c r="T23">
        <f>'附件4 规划外'!A133</f>
        <v>146</v>
      </c>
      <c r="U23" t="str">
        <f>'附件4 规划外'!B133</f>
        <v>尉氏县久龙橡塑有限公司</v>
      </c>
      <c r="V23" t="str">
        <f>'附件4 规划外'!C133</f>
        <v>产业</v>
      </c>
      <c r="W23" t="str">
        <f>'附件4 规划外'!D133</f>
        <v>压胶电子磅2台；输送带电器2套；光氧环保镇流器、光氧灯管；光氧环保活性炭、滤棉；光氧环保电气控制；4千瓦电机2台；7.5千瓦电机1台</v>
      </c>
      <c r="X23">
        <f>'附件4 规划外'!E133</f>
        <v>103</v>
      </c>
      <c r="Y23">
        <f>'附件4 规划外'!F133</f>
        <v>103</v>
      </c>
      <c r="Z23">
        <f>'附件4 规划外'!G133</f>
        <v>0</v>
      </c>
      <c r="AA23">
        <f>'附件4 规划外'!H133</f>
        <v>0</v>
      </c>
      <c r="AB23" t="str">
        <f>'附件4 规划外'!I133</f>
        <v>完工</v>
      </c>
      <c r="AC23">
        <f>'附件4 规划外'!J133</f>
        <v>103</v>
      </c>
      <c r="AD23" t="str">
        <f>'附件4 规划外'!K133</f>
        <v/>
      </c>
      <c r="AE23" t="str">
        <f>'附件4 规划外'!L133</f>
        <v>竣工</v>
      </c>
      <c r="AF23">
        <f>'附件4 规划外'!M133</f>
        <v>44378</v>
      </c>
      <c r="AG23">
        <f>'附件4 规划外'!N133</f>
        <v>44440</v>
      </c>
      <c r="AH23" t="str">
        <f>'附件4 规划外'!O133</f>
        <v>市工业和信息化局</v>
      </c>
      <c r="AI23" t="str">
        <f>'附件4 规划外'!P133</f>
        <v>尉氏县</v>
      </c>
      <c r="AJ23">
        <f>'附件4 规划外'!Q133</f>
        <v>0</v>
      </c>
      <c r="AK23">
        <f>'附件4 规划外'!R133</f>
        <v>0</v>
      </c>
    </row>
    <row r="24" hidden="1" spans="1:37">
      <c r="A24">
        <f>'附件3 规划内'!A35</f>
        <v>34</v>
      </c>
      <c r="B24" t="str">
        <f>'附件3 规划内'!B35</f>
        <v>赵口灌区东三北干渠</v>
      </c>
      <c r="C24" t="str">
        <f>'附件3 规划内'!C35</f>
        <v>水利</v>
      </c>
      <c r="D24" t="str">
        <f>'附件3 规划内'!D35</f>
        <v>左岸岸坡及堤防坍塌6346m右岸岸坡及堤防坍塌3154m桥梁水毁5座、涵2座、支门损毁4个东三北干张市镇西万村村北350米万村节制闸1座。恢复并加固</v>
      </c>
      <c r="E24">
        <f>'附件3 规划内'!E35</f>
        <v>268</v>
      </c>
      <c r="F24">
        <f>'附件3 规划内'!F35</f>
        <v>0</v>
      </c>
      <c r="G24">
        <f>'附件3 规划内'!G35</f>
        <v>268</v>
      </c>
      <c r="H24">
        <f>'附件3 规划内'!H35</f>
        <v>0</v>
      </c>
      <c r="I24" t="str">
        <f>'附件3 规划内'!I35</f>
        <v>完工</v>
      </c>
      <c r="J24">
        <f>'附件3 规划内'!J35</f>
        <v>268</v>
      </c>
      <c r="K24">
        <f>'附件3 规划内'!K35</f>
        <v>268</v>
      </c>
      <c r="L24">
        <f>'附件3 规划内'!L35</f>
        <v>0</v>
      </c>
      <c r="M24" s="26">
        <f>'附件3 规划内'!M35</f>
        <v>44520</v>
      </c>
      <c r="N24" s="26">
        <f>'附件3 规划内'!N35</f>
        <v>44681</v>
      </c>
      <c r="O24" t="str">
        <f>'附件3 规划内'!O35</f>
        <v>市水利局</v>
      </c>
      <c r="P24" t="str">
        <f>'附件3 规划内'!P35</f>
        <v>尉氏县</v>
      </c>
      <c r="Q24">
        <f>'附件3 规划内'!Q35</f>
        <v>0</v>
      </c>
      <c r="R24">
        <f>'附件3 规划内'!R35</f>
        <v>0</v>
      </c>
      <c r="T24">
        <f>'附件4 规划外'!A134</f>
        <v>147</v>
      </c>
      <c r="U24" t="str">
        <f>'附件4 规划外'!B134</f>
        <v>河南昊昌精梳机械股份有限公司</v>
      </c>
      <c r="V24" t="str">
        <f>'附件4 规划外'!C134</f>
        <v>产业</v>
      </c>
      <c r="W24" t="str">
        <f>'附件4 规划外'!D134</f>
        <v>涡流纺设备4台、空压机1台、滤尘电机1台、熔喷布冷冻机组。</v>
      </c>
      <c r="X24">
        <f>'附件4 规划外'!E134</f>
        <v>3</v>
      </c>
      <c r="Y24">
        <f>'附件4 规划外'!F134</f>
        <v>3</v>
      </c>
      <c r="Z24">
        <f>'附件4 规划外'!G134</f>
        <v>0</v>
      </c>
      <c r="AA24">
        <f>'附件4 规划外'!H134</f>
        <v>0</v>
      </c>
      <c r="AB24" t="str">
        <f>'附件4 规划外'!I134</f>
        <v>完工</v>
      </c>
      <c r="AC24">
        <f>'附件4 规划外'!J134</f>
        <v>3</v>
      </c>
      <c r="AD24" t="str">
        <f>'附件4 规划外'!K134</f>
        <v/>
      </c>
      <c r="AE24" t="str">
        <f>'附件4 规划外'!L134</f>
        <v>竣工</v>
      </c>
      <c r="AF24">
        <f>'附件4 规划外'!M134</f>
        <v>44378</v>
      </c>
      <c r="AG24">
        <f>'附件4 规划外'!N134</f>
        <v>44440</v>
      </c>
      <c r="AH24" t="str">
        <f>'附件4 规划外'!O134</f>
        <v>市工业和信息化局</v>
      </c>
      <c r="AI24" t="str">
        <f>'附件4 规划外'!P134</f>
        <v>尉氏县</v>
      </c>
      <c r="AJ24">
        <f>'附件4 规划外'!Q134</f>
        <v>0</v>
      </c>
      <c r="AK24">
        <f>'附件4 规划外'!R134</f>
        <v>0</v>
      </c>
    </row>
    <row r="25" hidden="1" spans="1:37">
      <c r="A25">
        <f>'附件3 规划内'!A36</f>
        <v>35</v>
      </c>
      <c r="B25" t="str">
        <f>'附件3 规划内'!B36</f>
        <v>赵口灌区东三南干渠</v>
      </c>
      <c r="C25" t="str">
        <f>'附件3 规划内'!C36</f>
        <v>水利</v>
      </c>
      <c r="D25" t="str">
        <f>'附件3 规划内'!D36</f>
        <v>左岸岸坡及堤防坍塌6632m右岸岸坡及堤防坍塌3968m桥梁水毁3座、涵1座、支门损毁34个。恢复并加固</v>
      </c>
      <c r="E25">
        <f>'附件3 规划内'!E36</f>
        <v>359</v>
      </c>
      <c r="F25">
        <f>'附件3 规划内'!F36</f>
        <v>0</v>
      </c>
      <c r="G25">
        <f>'附件3 规划内'!G36</f>
        <v>359</v>
      </c>
      <c r="H25">
        <f>'附件3 规划内'!H36</f>
        <v>0</v>
      </c>
      <c r="I25" t="str">
        <f>'附件3 规划内'!I36</f>
        <v>完工</v>
      </c>
      <c r="J25">
        <f>'附件3 规划内'!J36</f>
        <v>359</v>
      </c>
      <c r="K25">
        <f>'附件3 规划内'!K36</f>
        <v>359</v>
      </c>
      <c r="L25">
        <f>'附件3 规划内'!L36</f>
        <v>0</v>
      </c>
      <c r="M25" s="26">
        <f>'附件3 规划内'!M36</f>
        <v>44542</v>
      </c>
      <c r="N25" s="26">
        <f>'附件3 规划内'!N36</f>
        <v>44681</v>
      </c>
      <c r="O25" t="str">
        <f>'附件3 规划内'!O36</f>
        <v>市水利局</v>
      </c>
      <c r="P25" t="str">
        <f>'附件3 规划内'!P36</f>
        <v>尉氏县</v>
      </c>
      <c r="Q25">
        <f>'附件3 规划内'!Q36</f>
        <v>0</v>
      </c>
      <c r="R25">
        <f>'附件3 规划内'!R36</f>
        <v>0</v>
      </c>
      <c r="T25">
        <f>'附件4 规划外'!A135</f>
        <v>148</v>
      </c>
      <c r="U25" t="str">
        <f>'附件4 规划外'!B135</f>
        <v>河南省金久龙实业有限公司</v>
      </c>
      <c r="V25" t="str">
        <f>'附件4 规划外'!C135</f>
        <v>产业</v>
      </c>
      <c r="W25" t="str">
        <f>'附件4 规划外'!D135</f>
        <v>1、切割机 2、水井变频控制柜 3、运输带硫化机
4、压延循环泵变频控制柜5、硫化罐6、270密炼机高压变频单元</v>
      </c>
      <c r="X25">
        <f>'附件4 规划外'!E135</f>
        <v>6.5</v>
      </c>
      <c r="Y25">
        <f>'附件4 规划外'!F135</f>
        <v>6.5</v>
      </c>
      <c r="Z25">
        <f>'附件4 规划外'!G135</f>
        <v>0</v>
      </c>
      <c r="AA25">
        <f>'附件4 规划外'!H135</f>
        <v>0</v>
      </c>
      <c r="AB25" t="str">
        <f>'附件4 规划外'!I135</f>
        <v>完工</v>
      </c>
      <c r="AC25">
        <f>'附件4 规划外'!J135</f>
        <v>6.5</v>
      </c>
      <c r="AD25" t="str">
        <f>'附件4 规划外'!K135</f>
        <v/>
      </c>
      <c r="AE25" t="str">
        <f>'附件4 规划外'!L135</f>
        <v>竣工</v>
      </c>
      <c r="AF25">
        <f>'附件4 规划外'!M135</f>
        <v>44378</v>
      </c>
      <c r="AG25">
        <f>'附件4 规划外'!N135</f>
        <v>44440</v>
      </c>
      <c r="AH25" t="str">
        <f>'附件4 规划外'!O135</f>
        <v>市工业和信息化局</v>
      </c>
      <c r="AI25" t="str">
        <f>'附件4 规划外'!P135</f>
        <v>尉氏县</v>
      </c>
      <c r="AJ25">
        <f>'附件4 规划外'!Q135</f>
        <v>0</v>
      </c>
      <c r="AK25">
        <f>'附件4 规划外'!R135</f>
        <v>0</v>
      </c>
    </row>
    <row r="26" hidden="1" spans="1:37">
      <c r="A26">
        <f>'附件3 规划内'!A37</f>
        <v>36</v>
      </c>
      <c r="B26" t="str">
        <f>'附件3 规划内'!B37</f>
        <v>赵口灌区竖岗分干渠</v>
      </c>
      <c r="C26" t="str">
        <f>'附件3 规划内'!C37</f>
        <v>水利</v>
      </c>
      <c r="D26" t="str">
        <f>'附件3 规划内'!D37</f>
        <v>左岸岸坡及堤防坍塌2603m右岸岸坡及堤防坍塌1697m桥梁水毁2座、支门损毁21个。恢复并加固</v>
      </c>
      <c r="E26">
        <f>'附件3 规划内'!E37</f>
        <v>88</v>
      </c>
      <c r="F26">
        <f>'附件3 规划内'!F37</f>
        <v>0</v>
      </c>
      <c r="G26">
        <f>'附件3 规划内'!G37</f>
        <v>88</v>
      </c>
      <c r="H26">
        <f>'附件3 规划内'!H37</f>
        <v>0</v>
      </c>
      <c r="I26" t="str">
        <f>'附件3 规划内'!I37</f>
        <v>完工</v>
      </c>
      <c r="J26">
        <f>'附件3 规划内'!J37</f>
        <v>88</v>
      </c>
      <c r="K26">
        <f>'附件3 规划内'!K37</f>
        <v>88</v>
      </c>
      <c r="L26">
        <f>'附件3 规划内'!L37</f>
        <v>0</v>
      </c>
      <c r="M26" s="26">
        <f>'附件3 规划内'!M37</f>
        <v>44540</v>
      </c>
      <c r="N26" s="26">
        <f>'附件3 规划内'!N37</f>
        <v>44681</v>
      </c>
      <c r="O26" t="str">
        <f>'附件3 规划内'!O37</f>
        <v>市水利局</v>
      </c>
      <c r="P26" t="str">
        <f>'附件3 规划内'!P37</f>
        <v>尉氏县</v>
      </c>
      <c r="Q26">
        <f>'附件3 规划内'!Q37</f>
        <v>0</v>
      </c>
      <c r="R26">
        <f>'附件3 规划内'!R37</f>
        <v>0</v>
      </c>
      <c r="T26">
        <f>'附件4 规划外'!A136</f>
        <v>149</v>
      </c>
      <c r="U26" t="str">
        <f>'附件4 规划外'!B136</f>
        <v>尉氏纺织有限公司</v>
      </c>
      <c r="V26" t="str">
        <f>'附件4 规划外'!C136</f>
        <v>产业</v>
      </c>
      <c r="W26" t="str">
        <f>'附件4 规划外'!D136</f>
        <v>空压机控制器2台、自动络筒机电脑、主板等13台、电动机14台、变频器21台</v>
      </c>
      <c r="X26">
        <f>'附件4 规划外'!E136</f>
        <v>2.8</v>
      </c>
      <c r="Y26">
        <f>'附件4 规划外'!F136</f>
        <v>2.8</v>
      </c>
      <c r="Z26">
        <f>'附件4 规划外'!G136</f>
        <v>0</v>
      </c>
      <c r="AA26">
        <f>'附件4 规划外'!H136</f>
        <v>0</v>
      </c>
      <c r="AB26" t="str">
        <f>'附件4 规划外'!I136</f>
        <v>完工</v>
      </c>
      <c r="AC26">
        <f>'附件4 规划外'!J136</f>
        <v>2.8</v>
      </c>
      <c r="AD26" t="str">
        <f>'附件4 规划外'!K136</f>
        <v/>
      </c>
      <c r="AE26" t="str">
        <f>'附件4 规划外'!L136</f>
        <v>竣工</v>
      </c>
      <c r="AF26">
        <f>'附件4 规划外'!M136</f>
        <v>44378</v>
      </c>
      <c r="AG26">
        <f>'附件4 规划外'!N136</f>
        <v>44440</v>
      </c>
      <c r="AH26" t="str">
        <f>'附件4 规划外'!O136</f>
        <v>市工业和信息化局</v>
      </c>
      <c r="AI26" t="str">
        <f>'附件4 规划外'!P136</f>
        <v>尉氏县</v>
      </c>
      <c r="AJ26">
        <f>'附件4 规划外'!Q136</f>
        <v>0</v>
      </c>
      <c r="AK26">
        <f>'附件4 规划外'!R136</f>
        <v>0</v>
      </c>
    </row>
    <row r="27" hidden="1" spans="1:37">
      <c r="A27">
        <f>'附件3 规划内'!A38</f>
        <v>37</v>
      </c>
      <c r="B27" t="str">
        <f>'附件3 规划内'!B38</f>
        <v>赵口灌区西三分干渠</v>
      </c>
      <c r="C27" t="str">
        <f>'附件3 规划内'!C38</f>
        <v>水利</v>
      </c>
      <c r="D27" t="str">
        <f>'附件3 规划内'!D38</f>
        <v>左岸岸坡及堤防坍塌4083m右岸岸坡及堤防坍塌3517m桥梁水毁8座、涵1座、支门损毁37个，西三分干渠首庄头镇前曹村前曹枢枢1座。恢复并加固</v>
      </c>
      <c r="E27">
        <f>'附件3 规划内'!E38</f>
        <v>559</v>
      </c>
      <c r="F27">
        <f>'附件3 规划内'!F38</f>
        <v>0</v>
      </c>
      <c r="G27">
        <f>'附件3 规划内'!G38</f>
        <v>559</v>
      </c>
      <c r="H27">
        <f>'附件3 规划内'!H38</f>
        <v>0</v>
      </c>
      <c r="I27" t="str">
        <f>'附件3 规划内'!I38</f>
        <v>完工</v>
      </c>
      <c r="J27">
        <f>'附件3 规划内'!J38</f>
        <v>559</v>
      </c>
      <c r="K27">
        <f>'附件3 规划内'!K38</f>
        <v>559</v>
      </c>
      <c r="L27">
        <f>'附件3 规划内'!L38</f>
        <v>0</v>
      </c>
      <c r="M27" s="26">
        <f>'附件3 规划内'!M38</f>
        <v>44510</v>
      </c>
      <c r="N27" s="26">
        <f>'附件3 规划内'!N38</f>
        <v>44681</v>
      </c>
      <c r="O27" t="str">
        <f>'附件3 规划内'!O38</f>
        <v>市水利局</v>
      </c>
      <c r="P27" t="str">
        <f>'附件3 规划内'!P38</f>
        <v>尉氏县</v>
      </c>
      <c r="Q27">
        <f>'附件3 规划内'!Q38</f>
        <v>0</v>
      </c>
      <c r="R27">
        <f>'附件3 规划内'!R38</f>
        <v>0</v>
      </c>
      <c r="T27">
        <f>'附件4 规划外'!A137</f>
        <v>150</v>
      </c>
      <c r="U27" t="str">
        <f>'附件4 规划外'!B137</f>
        <v>河南省康源香料厂有限公司第一分公司</v>
      </c>
      <c r="V27" t="str">
        <f>'附件4 规划外'!C137</f>
        <v>产业</v>
      </c>
      <c r="W27" t="str">
        <f>'附件4 规划外'!D137</f>
        <v>地下罐4个（容量300吨）；消防泵电机4台（型号：XBD5.0/40G-MHL）；生产区电机25台(型号：YBX3-90L-2)；监控64套（型号:CDS-XES00）；光纤接发器1对（型号：JJ-B5110S）；5口POE交换机1台（型号：FS05CP）；8口POE交换机（型号：FS08CP）；电脑主机11台(型号：扬天M4601d-01)。</v>
      </c>
      <c r="X27">
        <f>'附件4 规划外'!E137</f>
        <v>8.3</v>
      </c>
      <c r="Y27">
        <f>'附件4 规划外'!F137</f>
        <v>8.3</v>
      </c>
      <c r="Z27">
        <f>'附件4 规划外'!G137</f>
        <v>0</v>
      </c>
      <c r="AA27">
        <f>'附件4 规划外'!H137</f>
        <v>0</v>
      </c>
      <c r="AB27" t="str">
        <f>'附件4 规划外'!I137</f>
        <v>完工</v>
      </c>
      <c r="AC27">
        <f>'附件4 规划外'!J137</f>
        <v>8.3</v>
      </c>
      <c r="AD27" t="str">
        <f>'附件4 规划外'!K137</f>
        <v/>
      </c>
      <c r="AE27" t="str">
        <f>'附件4 规划外'!L137</f>
        <v>竣工</v>
      </c>
      <c r="AF27">
        <f>'附件4 规划外'!M137</f>
        <v>44378</v>
      </c>
      <c r="AG27">
        <f>'附件4 规划外'!N137</f>
        <v>44440</v>
      </c>
      <c r="AH27" t="str">
        <f>'附件4 规划外'!O137</f>
        <v>市工业和信息化局</v>
      </c>
      <c r="AI27" t="str">
        <f>'附件4 规划外'!P137</f>
        <v>尉氏县</v>
      </c>
      <c r="AJ27">
        <f>'附件4 规划外'!Q137</f>
        <v>0</v>
      </c>
      <c r="AK27">
        <f>'附件4 规划外'!R137</f>
        <v>0</v>
      </c>
    </row>
    <row r="28" hidden="1" spans="1:37">
      <c r="A28">
        <f>'附件3 规划内'!A42</f>
        <v>41</v>
      </c>
      <c r="B28" t="str">
        <f>'附件3 规划内'!B42</f>
        <v>水坡镇西水坡供水工程</v>
      </c>
      <c r="C28" t="str">
        <f>'附件3 规划内'!C42</f>
        <v>水利</v>
      </c>
      <c r="D28" t="str">
        <f>'附件3 规划内'!D42</f>
        <v>彭庄村管网损坏</v>
      </c>
      <c r="E28">
        <f>'附件3 规划内'!E42</f>
        <v>22.8</v>
      </c>
      <c r="F28">
        <f>'附件3 规划内'!F42</f>
        <v>0</v>
      </c>
      <c r="G28">
        <f>'附件3 规划内'!G42</f>
        <v>22.8</v>
      </c>
      <c r="H28">
        <f>'附件3 规划内'!H42</f>
        <v>0</v>
      </c>
      <c r="I28" t="str">
        <f>'附件3 规划内'!I42</f>
        <v>完工</v>
      </c>
      <c r="J28">
        <f>'附件3 规划内'!J42</f>
        <v>22.8</v>
      </c>
      <c r="K28">
        <f>'附件3 规划内'!K42</f>
        <v>22.8</v>
      </c>
      <c r="L28">
        <f>'附件3 规划内'!L42</f>
        <v>0</v>
      </c>
      <c r="M28" s="26">
        <f>'附件3 规划内'!M42</f>
        <v>44555</v>
      </c>
      <c r="N28" s="26">
        <f>'附件3 规划内'!N42</f>
        <v>44676</v>
      </c>
      <c r="O28" t="str">
        <f>'附件3 规划内'!O42</f>
        <v>市水利局</v>
      </c>
      <c r="P28" t="str">
        <f>'附件3 规划内'!P42</f>
        <v>尉氏县</v>
      </c>
      <c r="Q28">
        <f>'附件3 规划内'!Q42</f>
        <v>0</v>
      </c>
      <c r="R28">
        <f>'附件3 规划内'!R42</f>
        <v>0</v>
      </c>
      <c r="T28">
        <f>'附件4 规划外'!A138</f>
        <v>151</v>
      </c>
      <c r="U28" t="str">
        <f>'附件4 规划外'!B138</f>
        <v>尉氏县富润电子科技有限公司</v>
      </c>
      <c r="V28" t="str">
        <f>'附件4 规划外'!C138</f>
        <v>产业</v>
      </c>
      <c r="W28" t="str">
        <f>'附件4 规划外'!D138</f>
        <v>USB2.0半自动机1套含1台自动插针机1台shell铁壳组装机；                自动包装机1台</v>
      </c>
      <c r="X28">
        <f>'附件4 规划外'!E138</f>
        <v>0</v>
      </c>
      <c r="Y28">
        <f>'附件4 规划外'!F138</f>
        <v>0</v>
      </c>
      <c r="Z28">
        <f>'附件4 规划外'!G138</f>
        <v>0</v>
      </c>
      <c r="AA28">
        <f>'附件4 规划外'!H138</f>
        <v>0</v>
      </c>
      <c r="AB28" t="str">
        <f>'附件4 规划外'!I138</f>
        <v>完工</v>
      </c>
      <c r="AC28">
        <f>'附件4 规划外'!J138</f>
        <v>0</v>
      </c>
      <c r="AD28" t="str">
        <f>'附件4 规划外'!K138</f>
        <v/>
      </c>
      <c r="AE28" t="str">
        <f>'附件4 规划外'!L138</f>
        <v>竣工</v>
      </c>
      <c r="AF28">
        <f>'附件4 规划外'!M138</f>
        <v>44378</v>
      </c>
      <c r="AG28">
        <f>'附件4 规划外'!N138</f>
        <v>44440</v>
      </c>
      <c r="AH28" t="str">
        <f>'附件4 规划外'!O138</f>
        <v>市工业和信息化局</v>
      </c>
      <c r="AI28" t="str">
        <f>'附件4 规划外'!P138</f>
        <v>尉氏县</v>
      </c>
      <c r="AJ28">
        <f>'附件4 规划外'!Q138</f>
        <v>0</v>
      </c>
      <c r="AK28">
        <f>'附件4 规划外'!R138</f>
        <v>0</v>
      </c>
    </row>
    <row r="29" hidden="1" spans="1:37">
      <c r="A29">
        <f>'附件3 规划内'!A43</f>
        <v>42</v>
      </c>
      <c r="B29" t="str">
        <f>'附件3 规划内'!B43</f>
        <v>洧川镇鲁湾供水工程</v>
      </c>
      <c r="C29" t="str">
        <f>'附件3 规划内'!C43</f>
        <v>水利</v>
      </c>
      <c r="D29" t="str">
        <f>'附件3 规划内'!D43</f>
        <v>洪水浸泡水源井周围塌陷、出水量减小</v>
      </c>
      <c r="E29">
        <f>'附件3 规划内'!E43</f>
        <v>40</v>
      </c>
      <c r="F29">
        <f>'附件3 规划内'!F43</f>
        <v>0</v>
      </c>
      <c r="G29">
        <f>'附件3 规划内'!G43</f>
        <v>40</v>
      </c>
      <c r="H29">
        <f>'附件3 规划内'!H43</f>
        <v>0</v>
      </c>
      <c r="I29" t="str">
        <f>'附件3 规划内'!I43</f>
        <v>完工</v>
      </c>
      <c r="J29">
        <f>'附件3 规划内'!J43</f>
        <v>40</v>
      </c>
      <c r="K29">
        <f>'附件3 规划内'!K43</f>
        <v>40</v>
      </c>
      <c r="L29">
        <f>'附件3 规划内'!L43</f>
        <v>0</v>
      </c>
      <c r="M29" s="26">
        <f>'附件3 规划内'!M43</f>
        <v>44555</v>
      </c>
      <c r="N29" s="26">
        <f>'附件3 规划内'!N43</f>
        <v>44676</v>
      </c>
      <c r="O29" t="str">
        <f>'附件3 规划内'!O43</f>
        <v>市水利局</v>
      </c>
      <c r="P29" t="str">
        <f>'附件3 规划内'!P43</f>
        <v>尉氏县</v>
      </c>
      <c r="Q29">
        <f>'附件3 规划内'!Q43</f>
        <v>0</v>
      </c>
      <c r="R29">
        <f>'附件3 规划内'!R43</f>
        <v>0</v>
      </c>
      <c r="T29">
        <f>'附件4 规划外'!A139</f>
        <v>152</v>
      </c>
      <c r="U29" t="str">
        <f>'附件4 规划外'!B139</f>
        <v>尉氏县力尔橡胶有限公司</v>
      </c>
      <c r="V29" t="str">
        <f>'附件4 规划外'!C139</f>
        <v>产业</v>
      </c>
      <c r="W29" t="str">
        <f>'附件4 规划外'!D139</f>
        <v>40千瓦电机2台；50千瓦电机2台；5.5千瓦电机23千瓦电机1台；设备PLC 6台</v>
      </c>
      <c r="X29">
        <f>'附件4 规划外'!E139</f>
        <v>23</v>
      </c>
      <c r="Y29">
        <f>'附件4 规划外'!F139</f>
        <v>23</v>
      </c>
      <c r="Z29">
        <f>'附件4 规划外'!G139</f>
        <v>0</v>
      </c>
      <c r="AA29">
        <f>'附件4 规划外'!H139</f>
        <v>0</v>
      </c>
      <c r="AB29" t="str">
        <f>'附件4 规划外'!I139</f>
        <v>完工</v>
      </c>
      <c r="AC29">
        <f>'附件4 规划外'!J139</f>
        <v>23</v>
      </c>
      <c r="AD29" t="str">
        <f>'附件4 规划外'!K139</f>
        <v/>
      </c>
      <c r="AE29" t="str">
        <f>'附件4 规划外'!L139</f>
        <v>竣工</v>
      </c>
      <c r="AF29">
        <f>'附件4 规划外'!M139</f>
        <v>44378</v>
      </c>
      <c r="AG29">
        <f>'附件4 规划外'!N139</f>
        <v>44440</v>
      </c>
      <c r="AH29" t="str">
        <f>'附件4 规划外'!O139</f>
        <v>市工业和信息化局</v>
      </c>
      <c r="AI29" t="str">
        <f>'附件4 规划外'!P139</f>
        <v>尉氏县</v>
      </c>
      <c r="AJ29">
        <f>'附件4 规划外'!Q139</f>
        <v>0</v>
      </c>
      <c r="AK29">
        <f>'附件4 规划外'!R139</f>
        <v>0</v>
      </c>
    </row>
    <row r="30" hidden="1" spans="1:37">
      <c r="A30">
        <f>'附件3 规划内'!A44</f>
        <v>43</v>
      </c>
      <c r="B30" t="str">
        <f>'附件3 规划内'!B44</f>
        <v>水坡镇牛集增压供水工程</v>
      </c>
      <c r="C30" t="str">
        <f>'附件3 规划内'!C44</f>
        <v>水利</v>
      </c>
      <c r="D30" t="str">
        <f>'附件3 规划内'!D44</f>
        <v>消毒设备损坏、牛集主管网损坏</v>
      </c>
      <c r="E30">
        <f>'附件3 规划内'!E44</f>
        <v>72.2</v>
      </c>
      <c r="F30">
        <f>'附件3 规划内'!F44</f>
        <v>0</v>
      </c>
      <c r="G30">
        <f>'附件3 规划内'!G44</f>
        <v>72.2</v>
      </c>
      <c r="H30">
        <f>'附件3 规划内'!H44</f>
        <v>0</v>
      </c>
      <c r="I30" t="str">
        <f>'附件3 规划内'!I44</f>
        <v>完工</v>
      </c>
      <c r="J30">
        <f>'附件3 规划内'!J44</f>
        <v>72.2</v>
      </c>
      <c r="K30">
        <f>'附件3 规划内'!K44</f>
        <v>72.2</v>
      </c>
      <c r="L30">
        <f>'附件3 规划内'!L44</f>
        <v>0</v>
      </c>
      <c r="M30" s="26">
        <f>'附件3 规划内'!M44</f>
        <v>44555</v>
      </c>
      <c r="N30" s="26">
        <f>'附件3 规划内'!N44</f>
        <v>44676</v>
      </c>
      <c r="O30" t="str">
        <f>'附件3 规划内'!O44</f>
        <v>市水利局</v>
      </c>
      <c r="P30" t="str">
        <f>'附件3 规划内'!P44</f>
        <v>尉氏县</v>
      </c>
      <c r="Q30">
        <f>'附件3 规划内'!Q44</f>
        <v>0</v>
      </c>
      <c r="R30">
        <f>'附件3 规划内'!R44</f>
        <v>0</v>
      </c>
      <c r="T30">
        <f>'附件4 规划外'!A140</f>
        <v>153</v>
      </c>
      <c r="U30" t="str">
        <f>'附件4 规划外'!B140</f>
        <v>河南国网电缆集团有限公司</v>
      </c>
      <c r="V30" t="str">
        <f>'附件4 规划外'!C140</f>
        <v>产业</v>
      </c>
      <c r="W30" t="str">
        <f>'附件4 规划外'!D140</f>
        <v>成缆1600型机一台；铜带屏蔽机；串联云母带绕包机组；行车10吨一台；成缆1250型机一台；挤塑机90型一台；弓绞1250型机一台；智能化拉丝机一台。</v>
      </c>
      <c r="X30">
        <f>'附件4 规划外'!E140</f>
        <v>5</v>
      </c>
      <c r="Y30">
        <f>'附件4 规划外'!F140</f>
        <v>5</v>
      </c>
      <c r="Z30">
        <f>'附件4 规划外'!G140</f>
        <v>0</v>
      </c>
      <c r="AA30">
        <f>'附件4 规划外'!H140</f>
        <v>0</v>
      </c>
      <c r="AB30" t="str">
        <f>'附件4 规划外'!I140</f>
        <v>完工</v>
      </c>
      <c r="AC30">
        <f>'附件4 规划外'!J140</f>
        <v>5</v>
      </c>
      <c r="AD30" t="str">
        <f>'附件4 规划外'!K140</f>
        <v/>
      </c>
      <c r="AE30" t="str">
        <f>'附件4 规划外'!L140</f>
        <v>竣工</v>
      </c>
      <c r="AF30">
        <f>'附件4 规划外'!M140</f>
        <v>44378</v>
      </c>
      <c r="AG30">
        <f>'附件4 规划外'!N140</f>
        <v>44440</v>
      </c>
      <c r="AH30" t="str">
        <f>'附件4 规划外'!O140</f>
        <v>市工业和信息化局</v>
      </c>
      <c r="AI30" t="str">
        <f>'附件4 规划外'!P140</f>
        <v>尉氏县</v>
      </c>
      <c r="AJ30">
        <f>'附件4 规划外'!Q140</f>
        <v>0</v>
      </c>
      <c r="AK30">
        <f>'附件4 规划外'!R140</f>
        <v>0</v>
      </c>
    </row>
    <row r="31" hidden="1" spans="1:37">
      <c r="A31">
        <f>'附件3 规划内'!A45</f>
        <v>44</v>
      </c>
      <c r="B31" t="str">
        <f>'附件3 规划内'!B45</f>
        <v>南曹乡北曹供水工程</v>
      </c>
      <c r="C31" t="str">
        <f>'附件3 规划内'!C45</f>
        <v>水利</v>
      </c>
      <c r="D31" t="str">
        <f>'附件3 规划内'!D45</f>
        <v>浸泡水源井周围塌陷、出水量减小</v>
      </c>
      <c r="E31">
        <f>'附件3 规划内'!E45</f>
        <v>40</v>
      </c>
      <c r="F31">
        <f>'附件3 规划内'!F45</f>
        <v>40</v>
      </c>
      <c r="G31">
        <f>'附件3 规划内'!G45</f>
        <v>0</v>
      </c>
      <c r="H31">
        <f>'附件3 规划内'!H45</f>
        <v>0</v>
      </c>
      <c r="I31" t="str">
        <f>'附件3 规划内'!I45</f>
        <v>完工</v>
      </c>
      <c r="J31">
        <f>'附件3 规划内'!J45</f>
        <v>40</v>
      </c>
      <c r="K31" t="str">
        <f>'附件3 规划内'!K45</f>
        <v/>
      </c>
      <c r="L31">
        <f>'附件3 规划内'!L45</f>
        <v>0</v>
      </c>
      <c r="M31" s="26">
        <f>'附件3 规划内'!M45</f>
        <v>44555</v>
      </c>
      <c r="N31" s="26">
        <f>'附件3 规划内'!N45</f>
        <v>44676</v>
      </c>
      <c r="O31" t="str">
        <f>'附件3 规划内'!O45</f>
        <v>市水利局</v>
      </c>
      <c r="P31" t="str">
        <f>'附件3 规划内'!P45</f>
        <v>尉氏县</v>
      </c>
      <c r="Q31">
        <f>'附件3 规划内'!Q45</f>
        <v>0</v>
      </c>
      <c r="R31">
        <f>'附件3 规划内'!R45</f>
        <v>0</v>
      </c>
      <c r="T31">
        <f>'附件4 规划外'!A141</f>
        <v>154</v>
      </c>
      <c r="U31" t="str">
        <f>'附件4 规划外'!B141</f>
        <v>上海宏图尚威环保科技股份有限公司开封分公司</v>
      </c>
      <c r="V31" t="str">
        <f>'附件4 规划外'!C141</f>
        <v>产业</v>
      </c>
      <c r="W31" t="str">
        <f>'附件4 规划外'!D141</f>
        <v>1400卷筒复合线SFJ-1400,1条；烘干机VYS-30HM,1台；开槽机ZDJ1000,2台；1.1米半自动裱纸机YB-1300B,1台</v>
      </c>
      <c r="X31">
        <f>'附件4 规划外'!E141</f>
        <v>20</v>
      </c>
      <c r="Y31">
        <f>'附件4 规划外'!F141</f>
        <v>20</v>
      </c>
      <c r="Z31">
        <f>'附件4 规划外'!G141</f>
        <v>0</v>
      </c>
      <c r="AA31">
        <f>'附件4 规划外'!H141</f>
        <v>0</v>
      </c>
      <c r="AB31" t="str">
        <f>'附件4 规划外'!I141</f>
        <v>完工</v>
      </c>
      <c r="AC31">
        <f>'附件4 规划外'!J141</f>
        <v>20</v>
      </c>
      <c r="AD31" t="str">
        <f>'附件4 规划外'!K141</f>
        <v/>
      </c>
      <c r="AE31" t="str">
        <f>'附件4 规划外'!L141</f>
        <v>竣工</v>
      </c>
      <c r="AF31">
        <f>'附件4 规划外'!M141</f>
        <v>44378</v>
      </c>
      <c r="AG31">
        <f>'附件4 规划外'!N141</f>
        <v>44440</v>
      </c>
      <c r="AH31" t="str">
        <f>'附件4 规划外'!O141</f>
        <v>市工业和信息化局</v>
      </c>
      <c r="AI31" t="str">
        <f>'附件4 规划外'!P141</f>
        <v>尉氏县</v>
      </c>
      <c r="AJ31">
        <f>'附件4 规划外'!Q141</f>
        <v>0</v>
      </c>
      <c r="AK31">
        <f>'附件4 规划外'!R141</f>
        <v>0</v>
      </c>
    </row>
    <row r="32" hidden="1" spans="1:37">
      <c r="A32">
        <f>'附件3 规划内'!A46</f>
        <v>45</v>
      </c>
      <c r="B32" t="str">
        <f>'附件3 规划内'!B46</f>
        <v>张市镇吴岗供水工程</v>
      </c>
      <c r="C32" t="str">
        <f>'附件3 规划内'!C46</f>
        <v>水利</v>
      </c>
      <c r="D32" t="str">
        <f>'附件3 规划内'!D46</f>
        <v>配电柜、水泵损坏。老集村主管网损坏</v>
      </c>
      <c r="E32">
        <f>'附件3 规划内'!E46</f>
        <v>50</v>
      </c>
      <c r="F32">
        <f>'附件3 规划内'!F46</f>
        <v>0</v>
      </c>
      <c r="G32">
        <f>'附件3 规划内'!G46</f>
        <v>50</v>
      </c>
      <c r="H32">
        <f>'附件3 规划内'!H46</f>
        <v>0</v>
      </c>
      <c r="I32" t="str">
        <f>'附件3 规划内'!I46</f>
        <v>完工</v>
      </c>
      <c r="J32">
        <f>'附件3 规划内'!J46</f>
        <v>50</v>
      </c>
      <c r="K32">
        <f>'附件3 规划内'!K46</f>
        <v>50</v>
      </c>
      <c r="L32">
        <f>'附件3 规划内'!L46</f>
        <v>0</v>
      </c>
      <c r="M32" s="26">
        <f>'附件3 规划内'!M46</f>
        <v>44555</v>
      </c>
      <c r="N32" s="26">
        <f>'附件3 规划内'!N46</f>
        <v>44676</v>
      </c>
      <c r="O32" t="str">
        <f>'附件3 规划内'!O46</f>
        <v>市水利局</v>
      </c>
      <c r="P32" t="str">
        <f>'附件3 规划内'!P46</f>
        <v>尉氏县</v>
      </c>
      <c r="Q32">
        <f>'附件3 规划内'!Q46</f>
        <v>0</v>
      </c>
      <c r="R32">
        <f>'附件3 规划内'!R46</f>
        <v>0</v>
      </c>
      <c r="T32">
        <f>'附件4 规划外'!A142</f>
        <v>155</v>
      </c>
      <c r="U32" t="str">
        <f>'附件4 规划外'!B142</f>
        <v>尉氏县顺昌纺织有限公司</v>
      </c>
      <c r="V32" t="str">
        <f>'附件4 规划外'!C142</f>
        <v>产业</v>
      </c>
      <c r="W32" t="str">
        <f>'附件4 规划外'!D142</f>
        <v>卧式打包机1台；立式打包机1台；FA002抓棉机2台；105型清花设备（A035混开棉机                      FA106豪猪开棉机）1套；ZM-FFCM-SI分栋机1台；郑纺机FA224梳棉机10台；清钢联棉箱10台；FA320并条机4台；TMF81L自调匀整并条机1台；环球FA494粗纱机1台；金汇丰粗纱机2台；Best516细纱机15台；马佐里129细纱机15台；工业空调1台；SMARO自络机4台；理管机4台；空压机2台；磨皮辊机1台；试验仪器1套；加湿器1台；变压器2台；蒸纱机1台；A035凝棉器1台；200吨电子磅1台；智能处理机1台；摆管机1台；除尘机1台。</v>
      </c>
      <c r="X32">
        <f>'附件4 规划外'!E142</f>
        <v>6</v>
      </c>
      <c r="Y32">
        <f>'附件4 规划外'!F142</f>
        <v>6</v>
      </c>
      <c r="Z32">
        <f>'附件4 规划外'!G142</f>
        <v>0</v>
      </c>
      <c r="AA32">
        <f>'附件4 规划外'!H142</f>
        <v>0</v>
      </c>
      <c r="AB32" t="str">
        <f>'附件4 规划外'!I142</f>
        <v>完工</v>
      </c>
      <c r="AC32">
        <f>'附件4 规划外'!J142</f>
        <v>6</v>
      </c>
      <c r="AD32" t="str">
        <f>'附件4 规划外'!K142</f>
        <v/>
      </c>
      <c r="AE32" t="str">
        <f>'附件4 规划外'!L142</f>
        <v>竣工</v>
      </c>
      <c r="AF32">
        <f>'附件4 规划外'!M142</f>
        <v>44378</v>
      </c>
      <c r="AG32">
        <f>'附件4 规划外'!N142</f>
        <v>44440</v>
      </c>
      <c r="AH32" t="str">
        <f>'附件4 规划外'!O142</f>
        <v>市工业和信息化局</v>
      </c>
      <c r="AI32" t="str">
        <f>'附件4 规划外'!P142</f>
        <v>尉氏县</v>
      </c>
      <c r="AJ32">
        <f>'附件4 规划外'!Q142</f>
        <v>0</v>
      </c>
      <c r="AK32">
        <f>'附件4 规划外'!R142</f>
        <v>0</v>
      </c>
    </row>
    <row r="33" hidden="1" spans="1:37">
      <c r="A33">
        <f>'附件3 规划内'!A47</f>
        <v>46</v>
      </c>
      <c r="B33" t="str">
        <f>'附件3 规划内'!B47</f>
        <v>朱曲镇菜张供水工程</v>
      </c>
      <c r="C33" t="str">
        <f>'附件3 规划内'!C47</f>
        <v>水利</v>
      </c>
      <c r="D33" t="str">
        <f>'附件3 规划内'!D47</f>
        <v>菜张、陈庄主管网损坏</v>
      </c>
      <c r="E33">
        <f>'附件3 规划内'!E47</f>
        <v>80</v>
      </c>
      <c r="F33">
        <f>'附件3 规划内'!F47</f>
        <v>0</v>
      </c>
      <c r="G33">
        <f>'附件3 规划内'!G47</f>
        <v>80</v>
      </c>
      <c r="H33">
        <f>'附件3 规划内'!H47</f>
        <v>0</v>
      </c>
      <c r="I33" t="str">
        <f>'附件3 规划内'!I47</f>
        <v>完工</v>
      </c>
      <c r="J33">
        <f>'附件3 规划内'!J47</f>
        <v>80</v>
      </c>
      <c r="K33">
        <f>'附件3 规划内'!K47</f>
        <v>80</v>
      </c>
      <c r="L33">
        <f>'附件3 规划内'!L47</f>
        <v>0</v>
      </c>
      <c r="M33" s="26">
        <f>'附件3 规划内'!M47</f>
        <v>44555</v>
      </c>
      <c r="N33" s="26">
        <f>'附件3 规划内'!N47</f>
        <v>44676</v>
      </c>
      <c r="O33" t="str">
        <f>'附件3 规划内'!O47</f>
        <v>市水利局</v>
      </c>
      <c r="P33" t="str">
        <f>'附件3 规划内'!P47</f>
        <v>尉氏县</v>
      </c>
      <c r="Q33">
        <f>'附件3 规划内'!Q47</f>
        <v>0</v>
      </c>
      <c r="R33">
        <f>'附件3 规划内'!R47</f>
        <v>0</v>
      </c>
      <c r="T33">
        <f>'附件4 规划外'!A143</f>
        <v>156</v>
      </c>
      <c r="U33" t="str">
        <f>'附件4 规划外'!B143</f>
        <v>河南金田地农化有限责任公司</v>
      </c>
      <c r="V33" t="str">
        <f>'附件4 规划外'!C143</f>
        <v>产业</v>
      </c>
      <c r="W33" t="str">
        <f>'附件4 规划外'!D143</f>
        <v>颗粒剂车间1套自动投料系统；3台自动贴标机 TN150；4条灌装线 CCG1000-12D；DXD-180D；2台二维码设备 弥特定制</v>
      </c>
      <c r="X33">
        <f>'附件4 规划外'!E143</f>
        <v>10.9</v>
      </c>
      <c r="Y33">
        <f>'附件4 规划外'!F143</f>
        <v>10.9</v>
      </c>
      <c r="Z33">
        <f>'附件4 规划外'!G143</f>
        <v>0</v>
      </c>
      <c r="AA33">
        <f>'附件4 规划外'!H143</f>
        <v>0</v>
      </c>
      <c r="AB33" t="str">
        <f>'附件4 规划外'!I143</f>
        <v>完工</v>
      </c>
      <c r="AC33">
        <f>'附件4 规划外'!J143</f>
        <v>10.9</v>
      </c>
      <c r="AD33" t="str">
        <f>'附件4 规划外'!K143</f>
        <v/>
      </c>
      <c r="AE33" t="str">
        <f>'附件4 规划外'!L143</f>
        <v>竣工</v>
      </c>
      <c r="AF33">
        <f>'附件4 规划外'!M143</f>
        <v>44378</v>
      </c>
      <c r="AG33">
        <f>'附件4 规划外'!N143</f>
        <v>44440</v>
      </c>
      <c r="AH33" t="str">
        <f>'附件4 规划外'!O143</f>
        <v>市工业和信息化局</v>
      </c>
      <c r="AI33" t="str">
        <f>'附件4 规划外'!P143</f>
        <v>尉氏县</v>
      </c>
      <c r="AJ33">
        <f>'附件4 规划外'!Q143</f>
        <v>0</v>
      </c>
      <c r="AK33">
        <f>'附件4 规划外'!R143</f>
        <v>0</v>
      </c>
    </row>
    <row r="34" hidden="1" spans="1:37">
      <c r="A34">
        <f>'附件3 规划内'!A71</f>
        <v>70</v>
      </c>
      <c r="B34" t="str">
        <f>'附件3 规划内'!B71</f>
        <v>X002北前线张市至后寨段改建工程</v>
      </c>
      <c r="C34" t="str">
        <f>'附件3 规划内'!C71</f>
        <v>交通</v>
      </c>
      <c r="D34" t="str">
        <f>'附件3 规划内'!D71</f>
        <v>恢复重建道路5公里</v>
      </c>
      <c r="E34">
        <f>'附件3 规划内'!E71</f>
        <v>1660</v>
      </c>
      <c r="F34">
        <f>'附件3 规划内'!F71</f>
        <v>450</v>
      </c>
      <c r="G34">
        <f>'附件3 规划内'!G71</f>
        <v>1210</v>
      </c>
      <c r="H34">
        <f>'附件3 规划内'!H71</f>
        <v>0</v>
      </c>
      <c r="I34" t="str">
        <f>'附件3 规划内'!I71</f>
        <v>完工</v>
      </c>
      <c r="J34">
        <f>'附件3 规划内'!J71</f>
        <v>1660</v>
      </c>
      <c r="K34">
        <f>'附件3 规划内'!K71</f>
        <v>1210</v>
      </c>
      <c r="L34">
        <f>'附件3 规划内'!L71</f>
        <v>0</v>
      </c>
      <c r="M34" s="26">
        <f>'附件3 规划内'!M71</f>
        <v>44530</v>
      </c>
      <c r="N34" s="26">
        <f>'附件3 规划内'!N71</f>
        <v>44742</v>
      </c>
      <c r="O34" t="str">
        <f>'附件3 规划内'!O71</f>
        <v>市交通运输局</v>
      </c>
      <c r="P34" t="str">
        <f>'附件3 规划内'!P71</f>
        <v>尉氏县</v>
      </c>
      <c r="Q34">
        <f>'附件3 规划内'!Q71</f>
        <v>0</v>
      </c>
      <c r="R34" t="str">
        <f>'附件3 规划内'!R71</f>
        <v>2022年6月底 农村公路</v>
      </c>
      <c r="T34">
        <f>'附件4 规划外'!A144</f>
        <v>157</v>
      </c>
      <c r="U34" t="str">
        <f>'附件4 规划外'!B144</f>
        <v>尉氏县鹏翔木业有限公司</v>
      </c>
      <c r="V34" t="str">
        <f>'附件4 规划外'!C144</f>
        <v>产业</v>
      </c>
      <c r="W34" t="str">
        <f>'附件4 规划外'!D144</f>
        <v>变频器2台；
水分仪2台；
电机5台；
PLC CPU3台；
伺服驱动器3台；
触摸屏1台；
工控机4台；
生产线运行系统瘫痪；
电机软启动器5台；
主电缆线180米</v>
      </c>
      <c r="X34">
        <f>'附件4 规划外'!E144</f>
        <v>0.1</v>
      </c>
      <c r="Y34">
        <f>'附件4 规划外'!F144</f>
        <v>0.1</v>
      </c>
      <c r="Z34">
        <f>'附件4 规划外'!G144</f>
        <v>0</v>
      </c>
      <c r="AA34">
        <f>'附件4 规划外'!H144</f>
        <v>0</v>
      </c>
      <c r="AB34" t="str">
        <f>'附件4 规划外'!I144</f>
        <v>完工</v>
      </c>
      <c r="AC34">
        <f>'附件4 规划外'!J144</f>
        <v>0.1</v>
      </c>
      <c r="AD34" t="str">
        <f>'附件4 规划外'!K144</f>
        <v/>
      </c>
      <c r="AE34" t="str">
        <f>'附件4 规划外'!L144</f>
        <v>竣工</v>
      </c>
      <c r="AF34">
        <f>'附件4 规划外'!M144</f>
        <v>44378</v>
      </c>
      <c r="AG34">
        <f>'附件4 规划外'!N144</f>
        <v>44440</v>
      </c>
      <c r="AH34" t="str">
        <f>'附件4 规划外'!O144</f>
        <v>市工业和信息化局</v>
      </c>
      <c r="AI34" t="str">
        <f>'附件4 规划外'!P144</f>
        <v>尉氏县</v>
      </c>
      <c r="AJ34">
        <f>'附件4 规划外'!Q144</f>
        <v>0</v>
      </c>
      <c r="AK34">
        <f>'附件4 规划外'!R144</f>
        <v>0</v>
      </c>
    </row>
    <row r="35" hidden="1" spans="1:37">
      <c r="A35">
        <f>'附件3 规划内'!A72</f>
        <v>71</v>
      </c>
      <c r="B35" t="str">
        <f>'附件3 规划内'!B72</f>
        <v>大洧线改建工程</v>
      </c>
      <c r="C35" t="str">
        <f>'附件3 规划内'!C72</f>
        <v>交通</v>
      </c>
      <c r="D35" t="str">
        <f>'附件3 规划内'!D72</f>
        <v>恢复重建道路3.6公里</v>
      </c>
      <c r="E35">
        <f>'附件3 规划内'!E72</f>
        <v>930</v>
      </c>
      <c r="F35">
        <f>'附件3 规划内'!F72</f>
        <v>550</v>
      </c>
      <c r="G35">
        <f>'附件3 规划内'!G72</f>
        <v>380</v>
      </c>
      <c r="H35">
        <f>'附件3 规划内'!H72</f>
        <v>0</v>
      </c>
      <c r="I35" t="str">
        <f>'附件3 规划内'!I72</f>
        <v>完工</v>
      </c>
      <c r="J35">
        <f>'附件3 规划内'!J72</f>
        <v>930</v>
      </c>
      <c r="K35">
        <f>'附件3 规划内'!K72</f>
        <v>380</v>
      </c>
      <c r="L35">
        <f>'附件3 规划内'!L72</f>
        <v>0</v>
      </c>
      <c r="M35" s="26">
        <f>'附件3 规划内'!M72</f>
        <v>44522</v>
      </c>
      <c r="N35" s="26">
        <f>'附件3 规划内'!N72</f>
        <v>44742</v>
      </c>
      <c r="O35" t="str">
        <f>'附件3 规划内'!O72</f>
        <v>市交通运输局</v>
      </c>
      <c r="P35" t="str">
        <f>'附件3 规划内'!P72</f>
        <v>尉氏县</v>
      </c>
      <c r="Q35">
        <f>'附件3 规划内'!Q72</f>
        <v>0</v>
      </c>
      <c r="R35" t="str">
        <f>'附件3 规划内'!R72</f>
        <v>2022年6月底 农村公路</v>
      </c>
      <c r="T35">
        <f>'附件4 规划外'!A145</f>
        <v>158</v>
      </c>
      <c r="U35" t="str">
        <f>'附件4 规划外'!B145</f>
        <v>开封凯乐实业有限公司</v>
      </c>
      <c r="V35" t="str">
        <f>'附件4 规划外'!C145</f>
        <v>产业</v>
      </c>
      <c r="W35" t="str">
        <f>'附件4 规划外'!D145</f>
        <v>电泳整条线、塑胶电镀线、化验室设备和电箱、变频器、继电器等因泡水受损或损坏</v>
      </c>
      <c r="X35">
        <f>'附件4 规划外'!E145</f>
        <v>2</v>
      </c>
      <c r="Y35">
        <f>'附件4 规划外'!F145</f>
        <v>2</v>
      </c>
      <c r="Z35">
        <f>'附件4 规划外'!G145</f>
        <v>0</v>
      </c>
      <c r="AA35">
        <f>'附件4 规划外'!H145</f>
        <v>0</v>
      </c>
      <c r="AB35" t="str">
        <f>'附件4 规划外'!I145</f>
        <v>完工</v>
      </c>
      <c r="AC35">
        <f>'附件4 规划外'!J145</f>
        <v>2</v>
      </c>
      <c r="AD35" t="str">
        <f>'附件4 规划外'!K145</f>
        <v/>
      </c>
      <c r="AE35" t="str">
        <f>'附件4 规划外'!L145</f>
        <v>竣工</v>
      </c>
      <c r="AF35">
        <f>'附件4 规划外'!M145</f>
        <v>44378</v>
      </c>
      <c r="AG35">
        <f>'附件4 规划外'!N145</f>
        <v>44440</v>
      </c>
      <c r="AH35" t="str">
        <f>'附件4 规划外'!O145</f>
        <v>市工业和信息化局</v>
      </c>
      <c r="AI35" t="str">
        <f>'附件4 规划外'!P145</f>
        <v>尉氏县</v>
      </c>
      <c r="AJ35">
        <f>'附件4 规划外'!Q145</f>
        <v>0</v>
      </c>
      <c r="AK35">
        <f>'附件4 规划外'!R145</f>
        <v>0</v>
      </c>
    </row>
    <row r="36" hidden="1" spans="1:37">
      <c r="A36">
        <f>'附件3 规划内'!A73</f>
        <v>72</v>
      </c>
      <c r="B36" t="str">
        <f>'附件3 规划内'!B73</f>
        <v>霍寨桥</v>
      </c>
      <c r="C36" t="str">
        <f>'附件3 规划内'!C73</f>
        <v>交通</v>
      </c>
      <c r="D36" t="str">
        <f>'附件3 规划内'!D73</f>
        <v>恢复重建桥梁36延米</v>
      </c>
      <c r="E36">
        <f>'附件3 规划内'!E73</f>
        <v>220</v>
      </c>
      <c r="F36">
        <f>'附件3 规划内'!F73</f>
        <v>100</v>
      </c>
      <c r="G36">
        <f>'附件3 规划内'!G73</f>
        <v>120</v>
      </c>
      <c r="H36">
        <f>'附件3 规划内'!H73</f>
        <v>0</v>
      </c>
      <c r="I36" t="str">
        <f>'附件3 规划内'!I73</f>
        <v>完工</v>
      </c>
      <c r="J36">
        <f>'附件3 规划内'!J73</f>
        <v>220</v>
      </c>
      <c r="K36">
        <f>'附件3 规划内'!K73</f>
        <v>120</v>
      </c>
      <c r="L36">
        <f>'附件3 规划内'!L73</f>
        <v>0</v>
      </c>
      <c r="M36" s="26">
        <f>'附件3 规划内'!M73</f>
        <v>44522</v>
      </c>
      <c r="N36" s="26">
        <f>'附件3 规划内'!N73</f>
        <v>44742</v>
      </c>
      <c r="O36" t="str">
        <f>'附件3 规划内'!O73</f>
        <v>市交通运输局</v>
      </c>
      <c r="P36" t="str">
        <f>'附件3 规划内'!P73</f>
        <v>尉氏县</v>
      </c>
      <c r="Q36">
        <f>'附件3 规划内'!Q73</f>
        <v>0</v>
      </c>
      <c r="R36" t="str">
        <f>'附件3 规划内'!R73</f>
        <v>2022年6月底 农村公路</v>
      </c>
      <c r="T36">
        <f>'附件4 规划外'!A146</f>
        <v>159</v>
      </c>
      <c r="U36" t="str">
        <f>'附件4 规划外'!B146</f>
        <v>河南远见农业科技有限公司</v>
      </c>
      <c r="V36" t="str">
        <f>'附件4 规划外'!C146</f>
        <v>产业</v>
      </c>
      <c r="W36" t="str">
        <f>'附件4 规划外'!D146</f>
        <v>卧式砂磨机2台，型号：WM50-1；柴油发电机组一套：东方红100GF；电脑3套；LED显示屏一套；产品追溯中控机一套；厂房。</v>
      </c>
      <c r="X36">
        <f>'附件4 规划外'!E146</f>
        <v>4</v>
      </c>
      <c r="Y36">
        <f>'附件4 规划外'!F146</f>
        <v>4</v>
      </c>
      <c r="Z36">
        <f>'附件4 规划外'!G146</f>
        <v>0</v>
      </c>
      <c r="AA36">
        <f>'附件4 规划外'!H146</f>
        <v>0</v>
      </c>
      <c r="AB36" t="str">
        <f>'附件4 规划外'!I146</f>
        <v>完工</v>
      </c>
      <c r="AC36">
        <f>'附件4 规划外'!J146</f>
        <v>4</v>
      </c>
      <c r="AD36" t="str">
        <f>'附件4 规划外'!K146</f>
        <v/>
      </c>
      <c r="AE36" t="str">
        <f>'附件4 规划外'!L146</f>
        <v>竣工</v>
      </c>
      <c r="AF36">
        <f>'附件4 规划外'!M146</f>
        <v>44378</v>
      </c>
      <c r="AG36">
        <f>'附件4 规划外'!N146</f>
        <v>44440</v>
      </c>
      <c r="AH36" t="str">
        <f>'附件4 规划外'!O146</f>
        <v>市工业和信息化局</v>
      </c>
      <c r="AI36" t="str">
        <f>'附件4 规划外'!P146</f>
        <v>尉氏县</v>
      </c>
      <c r="AJ36">
        <f>'附件4 规划外'!Q146</f>
        <v>0</v>
      </c>
      <c r="AK36">
        <f>'附件4 规划外'!R146</f>
        <v>0</v>
      </c>
    </row>
    <row r="37" hidden="1" spans="1:37">
      <c r="A37">
        <f>'附件3 规划内'!A81</f>
        <v>80</v>
      </c>
      <c r="B37" t="str">
        <f>'附件3 规划内'!B81</f>
        <v>尉氏县通村公路恢复重建项目</v>
      </c>
      <c r="C37" t="str">
        <f>'附件3 规划内'!C81</f>
        <v>交通</v>
      </c>
      <c r="D37" t="str">
        <f>'附件3 规划内'!D81</f>
        <v>恢复重建道路1.3公里</v>
      </c>
      <c r="E37">
        <f>'附件3 规划内'!E81</f>
        <v>140</v>
      </c>
      <c r="F37">
        <f>'附件3 规划内'!F81</f>
        <v>100</v>
      </c>
      <c r="G37">
        <f>'附件3 规划内'!G81</f>
        <v>40</v>
      </c>
      <c r="H37">
        <f>'附件3 规划内'!H81</f>
        <v>0</v>
      </c>
      <c r="I37" t="str">
        <f>'附件3 规划内'!I81</f>
        <v>完工</v>
      </c>
      <c r="J37">
        <f>'附件3 规划内'!J81</f>
        <v>140</v>
      </c>
      <c r="K37">
        <f>'附件3 规划内'!K81</f>
        <v>40</v>
      </c>
      <c r="L37">
        <f>'附件3 规划内'!L81</f>
        <v>0</v>
      </c>
      <c r="M37" s="26">
        <f>'附件3 规划内'!M81</f>
        <v>44522</v>
      </c>
      <c r="N37" s="26">
        <f>'附件3 规划内'!N81</f>
        <v>44742</v>
      </c>
      <c r="O37" t="str">
        <f>'附件3 规划内'!O81</f>
        <v>市交通运输局</v>
      </c>
      <c r="P37" t="str">
        <f>'附件3 规划内'!P81</f>
        <v>尉氏县</v>
      </c>
      <c r="Q37">
        <f>'附件3 规划内'!Q81</f>
        <v>0</v>
      </c>
      <c r="R37" t="str">
        <f>'附件3 规划内'!R81</f>
        <v>2022年6月底 农村公路</v>
      </c>
      <c r="T37">
        <f>'附件4 规划外'!A147</f>
        <v>160</v>
      </c>
      <c r="U37" t="str">
        <f>'附件4 规划外'!B147</f>
        <v>尉氏县华牧生物科技有限公司</v>
      </c>
      <c r="V37" t="str">
        <f>'附件4 规划外'!C147</f>
        <v>产业</v>
      </c>
      <c r="W37" t="str">
        <f>'附件4 规划外'!D147</f>
        <v>3台膨化机EXP160G-110KW；2台锤式粉碎机SFSP66×80；1台地磅</v>
      </c>
      <c r="X37">
        <f>'附件4 规划外'!E147</f>
        <v>1.5</v>
      </c>
      <c r="Y37">
        <f>'附件4 规划外'!F147</f>
        <v>1.5</v>
      </c>
      <c r="Z37">
        <f>'附件4 规划外'!G147</f>
        <v>0</v>
      </c>
      <c r="AA37">
        <f>'附件4 规划外'!H147</f>
        <v>0</v>
      </c>
      <c r="AB37" t="str">
        <f>'附件4 规划外'!I147</f>
        <v>完工</v>
      </c>
      <c r="AC37">
        <f>'附件4 规划外'!J147</f>
        <v>1.5</v>
      </c>
      <c r="AD37" t="str">
        <f>'附件4 规划外'!K147</f>
        <v/>
      </c>
      <c r="AE37" t="str">
        <f>'附件4 规划外'!L147</f>
        <v>竣工</v>
      </c>
      <c r="AF37">
        <f>'附件4 规划外'!M147</f>
        <v>44378</v>
      </c>
      <c r="AG37">
        <f>'附件4 规划外'!N147</f>
        <v>44440</v>
      </c>
      <c r="AH37" t="str">
        <f>'附件4 规划外'!O147</f>
        <v>市工业和信息化局</v>
      </c>
      <c r="AI37" t="str">
        <f>'附件4 规划外'!P147</f>
        <v>尉氏县</v>
      </c>
      <c r="AJ37">
        <f>'附件4 规划外'!Q147</f>
        <v>0</v>
      </c>
      <c r="AK37">
        <f>'附件4 规划外'!R147</f>
        <v>0</v>
      </c>
    </row>
    <row r="38" hidden="1" spans="1:37">
      <c r="A38">
        <f>'附件3 规划内'!A157</f>
        <v>156</v>
      </c>
      <c r="B38" t="str">
        <f>'附件3 规划内'!B157</f>
        <v>尉氏县大马乡八里庙村种植花生、养鸡产业扶持奖补项目</v>
      </c>
      <c r="C38" t="str">
        <f>'附件3 规划内'!C157</f>
        <v>乡村振兴</v>
      </c>
      <c r="D38" t="str">
        <f>'附件3 规划内'!D157</f>
        <v>修复地基1000平方，裂缝100米。</v>
      </c>
      <c r="E38">
        <f>'附件3 规划内'!E157</f>
        <v>3</v>
      </c>
      <c r="F38">
        <f>'附件3 规划内'!F157</f>
        <v>3</v>
      </c>
      <c r="G38">
        <f>'附件3 规划内'!G157</f>
        <v>0</v>
      </c>
      <c r="H38">
        <f>'附件3 规划内'!H157</f>
        <v>0</v>
      </c>
      <c r="I38" t="str">
        <f>'附件3 规划内'!I157</f>
        <v>完工</v>
      </c>
      <c r="J38">
        <f>'附件3 规划内'!J157</f>
        <v>3</v>
      </c>
      <c r="K38" t="str">
        <f>'附件3 规划内'!K157</f>
        <v/>
      </c>
      <c r="L38">
        <f>'附件3 规划内'!L157</f>
        <v>0</v>
      </c>
      <c r="M38" s="26">
        <f>'附件3 规划内'!M157</f>
        <v>44440</v>
      </c>
      <c r="N38" s="26">
        <f>'附件3 规划内'!N157</f>
        <v>44499</v>
      </c>
      <c r="O38" t="str">
        <f>'附件3 规划内'!O157</f>
        <v>市乡村振兴局</v>
      </c>
      <c r="P38" t="str">
        <f>'附件3 规划内'!P157</f>
        <v>尉氏县</v>
      </c>
      <c r="Q38">
        <f>'附件3 规划内'!Q157</f>
        <v>0</v>
      </c>
      <c r="R38">
        <f>'附件3 规划内'!R157</f>
        <v>0</v>
      </c>
      <c r="T38">
        <f>'附件4 规划外'!A148</f>
        <v>161</v>
      </c>
      <c r="U38" t="str">
        <f>'附件4 规划外'!B148</f>
        <v>开封市腾发木业有限公司</v>
      </c>
      <c r="V38" t="str">
        <f>'附件4 规划外'!C148</f>
        <v>产业</v>
      </c>
      <c r="W38" t="str">
        <f>'附件4 规划外'!D148</f>
        <v>剥板机 找圆机上料机俩台</v>
      </c>
      <c r="X38">
        <f>'附件4 规划外'!E148</f>
        <v>1</v>
      </c>
      <c r="Y38">
        <f>'附件4 规划外'!F148</f>
        <v>1</v>
      </c>
      <c r="Z38">
        <f>'附件4 规划外'!G148</f>
        <v>0</v>
      </c>
      <c r="AA38">
        <f>'附件4 规划外'!H148</f>
        <v>0</v>
      </c>
      <c r="AB38" t="str">
        <f>'附件4 规划外'!I148</f>
        <v>完工</v>
      </c>
      <c r="AC38">
        <f>'附件4 规划外'!J148</f>
        <v>1</v>
      </c>
      <c r="AD38" t="str">
        <f>'附件4 规划外'!K148</f>
        <v/>
      </c>
      <c r="AE38" t="str">
        <f>'附件4 规划外'!L148</f>
        <v>竣工</v>
      </c>
      <c r="AF38">
        <f>'附件4 规划外'!M148</f>
        <v>44378</v>
      </c>
      <c r="AG38">
        <f>'附件4 规划外'!N148</f>
        <v>44440</v>
      </c>
      <c r="AH38" t="str">
        <f>'附件4 规划外'!O148</f>
        <v>市工业和信息化局</v>
      </c>
      <c r="AI38" t="str">
        <f>'附件4 规划外'!P148</f>
        <v>尉氏县</v>
      </c>
      <c r="AJ38">
        <f>'附件4 规划外'!Q148</f>
        <v>0</v>
      </c>
      <c r="AK38">
        <f>'附件4 规划外'!R148</f>
        <v>0</v>
      </c>
    </row>
    <row r="39" hidden="1" spans="1:37">
      <c r="A39">
        <f>'附件3 规划内'!A158</f>
        <v>157</v>
      </c>
      <c r="B39" t="str">
        <f>'附件3 规划内'!B158</f>
        <v>2018年朱曲镇黄湖村扶贫车间项目</v>
      </c>
      <c r="C39" t="str">
        <f>'附件3 规划内'!C158</f>
        <v>乡村振兴</v>
      </c>
      <c r="D39" t="str">
        <f>'附件3 规划内'!D158</f>
        <v>修复地基下沉，重建围墙倒塌30米</v>
      </c>
      <c r="E39">
        <f>'附件3 规划内'!E158</f>
        <v>4.98</v>
      </c>
      <c r="F39">
        <f>'附件3 规划内'!F158</f>
        <v>4.98</v>
      </c>
      <c r="G39">
        <f>'附件3 规划内'!G158</f>
        <v>0</v>
      </c>
      <c r="H39">
        <f>'附件3 规划内'!H158</f>
        <v>0</v>
      </c>
      <c r="I39" t="str">
        <f>'附件3 规划内'!I158</f>
        <v>完工</v>
      </c>
      <c r="J39">
        <f>'附件3 规划内'!J158</f>
        <v>4.98</v>
      </c>
      <c r="K39" t="str">
        <f>'附件3 规划内'!K158</f>
        <v/>
      </c>
      <c r="L39">
        <f>'附件3 规划内'!L158</f>
        <v>0</v>
      </c>
      <c r="M39" s="26">
        <f>'附件3 规划内'!M158</f>
        <v>44440</v>
      </c>
      <c r="N39" s="26">
        <f>'附件3 规划内'!N158</f>
        <v>44499</v>
      </c>
      <c r="O39" t="str">
        <f>'附件3 规划内'!O158</f>
        <v>市乡村振兴局</v>
      </c>
      <c r="P39" t="str">
        <f>'附件3 规划内'!P158</f>
        <v>尉氏县</v>
      </c>
      <c r="Q39">
        <f>'附件3 规划内'!Q158</f>
        <v>0</v>
      </c>
      <c r="R39">
        <f>'附件3 规划内'!R158</f>
        <v>0</v>
      </c>
      <c r="T39">
        <f>'附件4 规划外'!A149</f>
        <v>162</v>
      </c>
      <c r="U39" t="str">
        <f>'附件4 规划外'!B149</f>
        <v>尉氏县智诚彩印包装有限公司</v>
      </c>
      <c r="V39" t="str">
        <f>'附件4 规划外'!C149</f>
        <v>产业</v>
      </c>
      <c r="W39" t="str">
        <f>'附件4 规划外'!D149</f>
        <v>hT-850型全自动印刷机1台，Tl-1050无溶剂复合机2台，DH-850干式复合机1台，600全自动制袋机5台，分切机1台，化验室设备透湿透氧仪器，气象色谱仪，拉力机，摩擦系数仪，高温蒸煮锅，水份测试仪各1台</v>
      </c>
      <c r="X39">
        <f>'附件4 规划外'!E149</f>
        <v>1.8</v>
      </c>
      <c r="Y39">
        <f>'附件4 规划外'!F149</f>
        <v>1.8</v>
      </c>
      <c r="Z39">
        <f>'附件4 规划外'!G149</f>
        <v>0</v>
      </c>
      <c r="AA39">
        <f>'附件4 规划外'!H149</f>
        <v>0</v>
      </c>
      <c r="AB39" t="str">
        <f>'附件4 规划外'!I149</f>
        <v>完工</v>
      </c>
      <c r="AC39">
        <f>'附件4 规划外'!J149</f>
        <v>1.8</v>
      </c>
      <c r="AD39" t="str">
        <f>'附件4 规划外'!K149</f>
        <v/>
      </c>
      <c r="AE39" t="str">
        <f>'附件4 规划外'!L149</f>
        <v>竣工</v>
      </c>
      <c r="AF39">
        <f>'附件4 规划外'!M149</f>
        <v>44378</v>
      </c>
      <c r="AG39">
        <f>'附件4 规划外'!N149</f>
        <v>44440</v>
      </c>
      <c r="AH39" t="str">
        <f>'附件4 规划外'!O149</f>
        <v>市工业和信息化局</v>
      </c>
      <c r="AI39" t="str">
        <f>'附件4 规划外'!P149</f>
        <v>尉氏县</v>
      </c>
      <c r="AJ39">
        <f>'附件4 规划外'!Q149</f>
        <v>0</v>
      </c>
      <c r="AK39">
        <f>'附件4 规划外'!R149</f>
        <v>0</v>
      </c>
    </row>
    <row r="40" hidden="1" spans="1:37">
      <c r="A40">
        <f>'附件3 规划内'!A159</f>
        <v>158</v>
      </c>
      <c r="B40" t="str">
        <f>'附件3 规划内'!B159</f>
        <v>2018朱曲镇黄湖村基础设施建设项目</v>
      </c>
      <c r="C40" t="str">
        <f>'附件3 规划内'!C159</f>
        <v>乡村振兴</v>
      </c>
      <c r="D40" t="str">
        <f>'附件3 规划内'!D159</f>
        <v>路面修复</v>
      </c>
      <c r="E40">
        <f>'附件3 规划内'!E159</f>
        <v>37.8794</v>
      </c>
      <c r="F40">
        <f>'附件3 规划内'!F159</f>
        <v>37.8794</v>
      </c>
      <c r="G40">
        <f>'附件3 规划内'!G159</f>
        <v>0</v>
      </c>
      <c r="H40">
        <f>'附件3 规划内'!H159</f>
        <v>0</v>
      </c>
      <c r="I40" t="str">
        <f>'附件3 规划内'!I159</f>
        <v>完工</v>
      </c>
      <c r="J40">
        <f>'附件3 规划内'!J159</f>
        <v>37.8794</v>
      </c>
      <c r="K40" t="str">
        <f>'附件3 规划内'!K159</f>
        <v/>
      </c>
      <c r="L40">
        <f>'附件3 规划内'!L159</f>
        <v>0</v>
      </c>
      <c r="M40" s="26">
        <f>'附件3 规划内'!M159</f>
        <v>44440</v>
      </c>
      <c r="N40" s="26">
        <f>'附件3 规划内'!N159</f>
        <v>44499</v>
      </c>
      <c r="O40" t="str">
        <f>'附件3 规划内'!O159</f>
        <v>市乡村振兴局</v>
      </c>
      <c r="P40" t="str">
        <f>'附件3 规划内'!P159</f>
        <v>尉氏县</v>
      </c>
      <c r="Q40">
        <f>'附件3 规划内'!Q159</f>
        <v>0</v>
      </c>
      <c r="R40">
        <f>'附件3 规划内'!R159</f>
        <v>0</v>
      </c>
      <c r="T40">
        <f>'附件4 规划外'!A150</f>
        <v>163</v>
      </c>
      <c r="U40" t="str">
        <f>'附件4 规划外'!B150</f>
        <v>开封精辉建筑材料有限公司</v>
      </c>
      <c r="V40" t="str">
        <f>'附件4 规划外'!C150</f>
        <v>产业</v>
      </c>
      <c r="W40" t="str">
        <f>'附件4 规划外'!D150</f>
        <v>电机维修95台
电机更换30台
电柜更换5台
液压油更换12桶
更换电线
数控柜5个
震动箱3台
光电70个砖机设备1套
管机设备1套</v>
      </c>
      <c r="X40">
        <f>'附件4 规划外'!E150</f>
        <v>5.5</v>
      </c>
      <c r="Y40">
        <f>'附件4 规划外'!F150</f>
        <v>5.5</v>
      </c>
      <c r="Z40">
        <f>'附件4 规划外'!G150</f>
        <v>0</v>
      </c>
      <c r="AA40">
        <f>'附件4 规划外'!H150</f>
        <v>0</v>
      </c>
      <c r="AB40" t="str">
        <f>'附件4 规划外'!I150</f>
        <v>完工</v>
      </c>
      <c r="AC40">
        <f>'附件4 规划外'!J150</f>
        <v>5.5</v>
      </c>
      <c r="AD40" t="str">
        <f>'附件4 规划外'!K150</f>
        <v/>
      </c>
      <c r="AE40" t="str">
        <f>'附件4 规划外'!L150</f>
        <v>竣工</v>
      </c>
      <c r="AF40">
        <f>'附件4 规划外'!M150</f>
        <v>44378</v>
      </c>
      <c r="AG40">
        <f>'附件4 规划外'!N150</f>
        <v>44440</v>
      </c>
      <c r="AH40" t="str">
        <f>'附件4 规划外'!O150</f>
        <v>市工业和信息化局</v>
      </c>
      <c r="AI40" t="str">
        <f>'附件4 规划外'!P150</f>
        <v>尉氏县</v>
      </c>
      <c r="AJ40">
        <f>'附件4 规划外'!Q150</f>
        <v>0</v>
      </c>
      <c r="AK40">
        <f>'附件4 规划外'!R150</f>
        <v>0</v>
      </c>
    </row>
    <row r="41" hidden="1" spans="1:37">
      <c r="A41">
        <f>'附件3 规划内'!A160</f>
        <v>159</v>
      </c>
      <c r="B41" t="str">
        <f>'附件3 规划内'!B160</f>
        <v>2017南曹乡中山村扶贫车间</v>
      </c>
      <c r="C41" t="str">
        <f>'附件3 规划内'!C160</f>
        <v>乡村振兴</v>
      </c>
      <c r="D41" t="str">
        <f>'附件3 规划内'!D160</f>
        <v>室内地坪修复500平方，车间地表刷漆500平方</v>
      </c>
      <c r="E41">
        <f>'附件3 规划内'!E160</f>
        <v>10</v>
      </c>
      <c r="F41">
        <f>'附件3 规划内'!F160</f>
        <v>10</v>
      </c>
      <c r="G41">
        <f>'附件3 规划内'!G160</f>
        <v>0</v>
      </c>
      <c r="H41">
        <f>'附件3 规划内'!H160</f>
        <v>0</v>
      </c>
      <c r="I41" t="str">
        <f>'附件3 规划内'!I160</f>
        <v>完工</v>
      </c>
      <c r="J41">
        <f>'附件3 规划内'!J160</f>
        <v>10</v>
      </c>
      <c r="K41" t="str">
        <f>'附件3 规划内'!K160</f>
        <v/>
      </c>
      <c r="L41">
        <f>'附件3 规划内'!L160</f>
        <v>0</v>
      </c>
      <c r="M41" s="26">
        <f>'附件3 规划内'!M160</f>
        <v>44440</v>
      </c>
      <c r="N41" s="26">
        <f>'附件3 规划内'!N160</f>
        <v>44499</v>
      </c>
      <c r="O41" t="str">
        <f>'附件3 规划内'!O160</f>
        <v>市乡村振兴局</v>
      </c>
      <c r="P41" t="str">
        <f>'附件3 规划内'!P160</f>
        <v>尉氏县</v>
      </c>
      <c r="Q41">
        <f>'附件3 规划内'!Q160</f>
        <v>0</v>
      </c>
      <c r="R41">
        <f>'附件3 规划内'!R160</f>
        <v>0</v>
      </c>
      <c r="T41">
        <f>'附件4 规划外'!A151</f>
        <v>164</v>
      </c>
      <c r="U41" t="str">
        <f>'附件4 规划外'!B151</f>
        <v>尉氏县青山木材加工厂</v>
      </c>
      <c r="V41" t="str">
        <f>'附件4 规划外'!C151</f>
        <v>产业</v>
      </c>
      <c r="W41" t="str">
        <f>'附件4 规划外'!D151</f>
        <v>接皮机受损，旋切机报废，三个上料机受损，找圆机受损，断木机受损。</v>
      </c>
      <c r="X41">
        <f>'附件4 规划外'!E151</f>
        <v>6.5</v>
      </c>
      <c r="Y41">
        <f>'附件4 规划外'!F151</f>
        <v>6.5</v>
      </c>
      <c r="Z41">
        <f>'附件4 规划外'!G151</f>
        <v>0</v>
      </c>
      <c r="AA41">
        <f>'附件4 规划外'!H151</f>
        <v>0</v>
      </c>
      <c r="AB41" t="str">
        <f>'附件4 规划外'!I151</f>
        <v>完工</v>
      </c>
      <c r="AC41">
        <f>'附件4 规划外'!J151</f>
        <v>6.5</v>
      </c>
      <c r="AD41" t="str">
        <f>'附件4 规划外'!K151</f>
        <v/>
      </c>
      <c r="AE41" t="str">
        <f>'附件4 规划外'!L151</f>
        <v>竣工</v>
      </c>
      <c r="AF41">
        <f>'附件4 规划外'!M151</f>
        <v>44378</v>
      </c>
      <c r="AG41">
        <f>'附件4 规划外'!N151</f>
        <v>44440</v>
      </c>
      <c r="AH41" t="str">
        <f>'附件4 规划外'!O151</f>
        <v>市工业和信息化局</v>
      </c>
      <c r="AI41" t="str">
        <f>'附件4 规划外'!P151</f>
        <v>尉氏县</v>
      </c>
      <c r="AJ41">
        <f>'附件4 规划外'!Q151</f>
        <v>0</v>
      </c>
      <c r="AK41">
        <f>'附件4 规划外'!R151</f>
        <v>0</v>
      </c>
    </row>
    <row r="42" hidden="1" spans="1:37">
      <c r="A42">
        <f>'附件3 规划内'!A161</f>
        <v>160</v>
      </c>
      <c r="B42" t="str">
        <f>'附件3 规划内'!B161</f>
        <v>2017南曹乡砖楼村扶贫车间</v>
      </c>
      <c r="C42" t="str">
        <f>'附件3 规划内'!C161</f>
        <v>乡村振兴</v>
      </c>
      <c r="D42" t="str">
        <f>'附件3 规划内'!D161</f>
        <v>彩钢石棉瓦房顶修复60平方米</v>
      </c>
      <c r="E42">
        <f>'附件3 规划内'!E161</f>
        <v>7.2</v>
      </c>
      <c r="F42">
        <f>'附件3 规划内'!F161</f>
        <v>7.2</v>
      </c>
      <c r="G42">
        <f>'附件3 规划内'!G161</f>
        <v>0</v>
      </c>
      <c r="H42">
        <f>'附件3 规划内'!H161</f>
        <v>0</v>
      </c>
      <c r="I42" t="str">
        <f>'附件3 规划内'!I161</f>
        <v>完工</v>
      </c>
      <c r="J42">
        <f>'附件3 规划内'!J161</f>
        <v>7.2</v>
      </c>
      <c r="K42" t="str">
        <f>'附件3 规划内'!K161</f>
        <v/>
      </c>
      <c r="L42">
        <f>'附件3 规划内'!L161</f>
        <v>0</v>
      </c>
      <c r="M42" s="26">
        <f>'附件3 规划内'!M161</f>
        <v>44440</v>
      </c>
      <c r="N42" s="26">
        <f>'附件3 规划内'!N161</f>
        <v>44499</v>
      </c>
      <c r="O42" t="str">
        <f>'附件3 规划内'!O161</f>
        <v>市乡村振兴局</v>
      </c>
      <c r="P42" t="str">
        <f>'附件3 规划内'!P161</f>
        <v>尉氏县</v>
      </c>
      <c r="Q42">
        <f>'附件3 规划内'!Q161</f>
        <v>0</v>
      </c>
      <c r="R42">
        <f>'附件3 规划内'!R161</f>
        <v>0</v>
      </c>
      <c r="T42">
        <f>'附件4 规划外'!A152</f>
        <v>165</v>
      </c>
      <c r="U42" t="str">
        <f>'附件4 规划外'!B152</f>
        <v>开封市开泰大地饲料有限公司</v>
      </c>
      <c r="V42" t="str">
        <f>'附件4 规划外'!C152</f>
        <v>产业</v>
      </c>
      <c r="W42" t="str">
        <f>'附件4 规划外'!D152</f>
        <v>5个提升机；玉米刮板；粉碎机刮板；空压机；预混料提升机；生物发酵罐2个；打包机</v>
      </c>
      <c r="X42">
        <f>'附件4 规划外'!E152</f>
        <v>3</v>
      </c>
      <c r="Y42">
        <f>'附件4 规划外'!F152</f>
        <v>3</v>
      </c>
      <c r="Z42">
        <f>'附件4 规划外'!G152</f>
        <v>0</v>
      </c>
      <c r="AA42">
        <f>'附件4 规划外'!H152</f>
        <v>0</v>
      </c>
      <c r="AB42" t="str">
        <f>'附件4 规划外'!I152</f>
        <v>完工</v>
      </c>
      <c r="AC42">
        <f>'附件4 规划外'!J152</f>
        <v>3</v>
      </c>
      <c r="AD42" t="str">
        <f>'附件4 规划外'!K152</f>
        <v/>
      </c>
      <c r="AE42" t="str">
        <f>'附件4 规划外'!L152</f>
        <v>竣工</v>
      </c>
      <c r="AF42">
        <f>'附件4 规划外'!M152</f>
        <v>44378</v>
      </c>
      <c r="AG42">
        <f>'附件4 规划外'!N152</f>
        <v>44440</v>
      </c>
      <c r="AH42" t="str">
        <f>'附件4 规划外'!O152</f>
        <v>市工业和信息化局</v>
      </c>
      <c r="AI42" t="str">
        <f>'附件4 规划外'!P152</f>
        <v>尉氏县</v>
      </c>
      <c r="AJ42">
        <f>'附件4 规划外'!Q152</f>
        <v>0</v>
      </c>
      <c r="AK42">
        <f>'附件4 规划外'!R152</f>
        <v>0</v>
      </c>
    </row>
    <row r="43" hidden="1" spans="1:37">
      <c r="A43">
        <f>'附件3 规划内'!A162</f>
        <v>161</v>
      </c>
      <c r="B43" t="str">
        <f>'附件3 规划内'!B162</f>
        <v>南曹乡蒋沟村2019年度村内道路建设项目</v>
      </c>
      <c r="C43" t="str">
        <f>'附件3 规划内'!C162</f>
        <v>乡村振兴</v>
      </c>
      <c r="D43" t="str">
        <f>'附件3 规划内'!D162</f>
        <v>蒋沟村维修路基、路面1000米4000平方米</v>
      </c>
      <c r="E43">
        <f>'附件3 规划内'!E162</f>
        <v>11.6552</v>
      </c>
      <c r="F43">
        <f>'附件3 规划内'!F162</f>
        <v>11.6552</v>
      </c>
      <c r="G43">
        <f>'附件3 规划内'!G162</f>
        <v>0</v>
      </c>
      <c r="H43">
        <f>'附件3 规划内'!H162</f>
        <v>0</v>
      </c>
      <c r="I43" t="str">
        <f>'附件3 规划内'!I162</f>
        <v>完工</v>
      </c>
      <c r="J43">
        <f>'附件3 规划内'!J162</f>
        <v>11.6552</v>
      </c>
      <c r="K43" t="str">
        <f>'附件3 规划内'!K162</f>
        <v/>
      </c>
      <c r="L43">
        <f>'附件3 规划内'!L162</f>
        <v>0</v>
      </c>
      <c r="M43" s="26">
        <f>'附件3 规划内'!M162</f>
        <v>44440</v>
      </c>
      <c r="N43" s="26">
        <f>'附件3 规划内'!N162</f>
        <v>44499</v>
      </c>
      <c r="O43" t="str">
        <f>'附件3 规划内'!O162</f>
        <v>市乡村振兴局</v>
      </c>
      <c r="P43" t="str">
        <f>'附件3 规划内'!P162</f>
        <v>尉氏县</v>
      </c>
      <c r="Q43">
        <f>'附件3 规划内'!Q162</f>
        <v>0</v>
      </c>
      <c r="R43">
        <f>'附件3 规划内'!R162</f>
        <v>0</v>
      </c>
      <c r="T43">
        <f>'附件4 规划外'!A153</f>
        <v>166</v>
      </c>
      <c r="U43" t="str">
        <f>'附件4 规划外'!B153</f>
        <v>河南水到渠成建材有限公司</v>
      </c>
      <c r="V43" t="str">
        <f>'附件4 规划外'!C153</f>
        <v>产业</v>
      </c>
      <c r="W43" t="str">
        <f>'附件4 规划外'!D153</f>
        <v>电机维修78台
电机更换30台
电柜更换3台
震动箱3台
光电60个</v>
      </c>
      <c r="X43">
        <f>'附件4 规划外'!E153</f>
        <v>4</v>
      </c>
      <c r="Y43">
        <f>'附件4 规划外'!F153</f>
        <v>4</v>
      </c>
      <c r="Z43">
        <f>'附件4 规划外'!G153</f>
        <v>0</v>
      </c>
      <c r="AA43">
        <f>'附件4 规划外'!H153</f>
        <v>0</v>
      </c>
      <c r="AB43" t="str">
        <f>'附件4 规划外'!I153</f>
        <v>完工</v>
      </c>
      <c r="AC43">
        <f>'附件4 规划外'!J153</f>
        <v>4</v>
      </c>
      <c r="AD43" t="str">
        <f>'附件4 规划外'!K153</f>
        <v/>
      </c>
      <c r="AE43" t="str">
        <f>'附件4 规划外'!L153</f>
        <v>竣工</v>
      </c>
      <c r="AF43">
        <f>'附件4 规划外'!M153</f>
        <v>44378</v>
      </c>
      <c r="AG43">
        <f>'附件4 规划外'!N153</f>
        <v>44440</v>
      </c>
      <c r="AH43" t="str">
        <f>'附件4 规划外'!O153</f>
        <v>市工业和信息化局</v>
      </c>
      <c r="AI43" t="str">
        <f>'附件4 规划外'!P153</f>
        <v>尉氏县</v>
      </c>
      <c r="AJ43">
        <f>'附件4 规划外'!Q153</f>
        <v>0</v>
      </c>
      <c r="AK43">
        <f>'附件4 规划外'!R153</f>
        <v>0</v>
      </c>
    </row>
    <row r="44" hidden="1" spans="1:37">
      <c r="A44">
        <f>'附件3 规划内'!A163</f>
        <v>162</v>
      </c>
      <c r="B44" t="str">
        <f>'附件3 规划内'!B163</f>
        <v>南曹乡蒋沟村2014年村内道路建设项目</v>
      </c>
      <c r="C44" t="str">
        <f>'附件3 规划内'!C163</f>
        <v>乡村振兴</v>
      </c>
      <c r="D44">
        <f>'附件3 规划内'!D163</f>
        <v>0</v>
      </c>
      <c r="E44">
        <f>'附件3 规划内'!E163</f>
        <v>46.6208</v>
      </c>
      <c r="F44">
        <f>'附件3 规划内'!F163</f>
        <v>46.6208</v>
      </c>
      <c r="G44">
        <f>'附件3 规划内'!G163</f>
        <v>0</v>
      </c>
      <c r="H44">
        <f>'附件3 规划内'!H163</f>
        <v>0</v>
      </c>
      <c r="I44" t="str">
        <f>'附件3 规划内'!I163</f>
        <v>完工</v>
      </c>
      <c r="J44">
        <f>'附件3 规划内'!J163</f>
        <v>46.6208</v>
      </c>
      <c r="K44" t="str">
        <f>'附件3 规划内'!K163</f>
        <v/>
      </c>
      <c r="L44">
        <f>'附件3 规划内'!L163</f>
        <v>0</v>
      </c>
      <c r="M44" s="26">
        <f>'附件3 规划内'!M163</f>
        <v>44440</v>
      </c>
      <c r="N44" s="26">
        <f>'附件3 规划内'!N163</f>
        <v>44499</v>
      </c>
      <c r="O44" t="str">
        <f>'附件3 规划内'!O163</f>
        <v>市乡村振兴局</v>
      </c>
      <c r="P44" t="str">
        <f>'附件3 规划内'!P163</f>
        <v>尉氏县</v>
      </c>
      <c r="Q44">
        <f>'附件3 规划内'!Q163</f>
        <v>0</v>
      </c>
      <c r="R44">
        <f>'附件3 规划内'!R163</f>
        <v>0</v>
      </c>
      <c r="T44">
        <f>'附件4 规划外'!A154</f>
        <v>167</v>
      </c>
      <c r="U44" t="str">
        <f>'附件4 规划外'!B154</f>
        <v>开封市泰宇商砼有限公司</v>
      </c>
      <c r="V44" t="str">
        <f>'附件4 规划外'!C154</f>
        <v>产业</v>
      </c>
      <c r="W44" t="str">
        <f>'附件4 规划外'!D154</f>
        <v>W-1.5/8(TA-120)空压机2台，JNY-50A空气压缩机1台，JS3000型中联180生产线，MAO4500/3000SDY00型仕高玛180生产线，YZF40型砂石分离机，雾森喷淋设备</v>
      </c>
      <c r="X44">
        <f>'附件4 规划外'!E154</f>
        <v>1.8</v>
      </c>
      <c r="Y44">
        <f>'附件4 规划外'!F154</f>
        <v>1.8</v>
      </c>
      <c r="Z44">
        <f>'附件4 规划外'!G154</f>
        <v>0</v>
      </c>
      <c r="AA44">
        <f>'附件4 规划外'!H154</f>
        <v>0</v>
      </c>
      <c r="AB44" t="str">
        <f>'附件4 规划外'!I154</f>
        <v>完工</v>
      </c>
      <c r="AC44">
        <f>'附件4 规划外'!J154</f>
        <v>1.8</v>
      </c>
      <c r="AD44" t="str">
        <f>'附件4 规划外'!K154</f>
        <v/>
      </c>
      <c r="AE44" t="str">
        <f>'附件4 规划外'!L154</f>
        <v>竣工</v>
      </c>
      <c r="AF44">
        <f>'附件4 规划外'!M154</f>
        <v>44378</v>
      </c>
      <c r="AG44">
        <f>'附件4 规划外'!N154</f>
        <v>44440</v>
      </c>
      <c r="AH44" t="str">
        <f>'附件4 规划外'!O154</f>
        <v>市工业和信息化局</v>
      </c>
      <c r="AI44" t="str">
        <f>'附件4 规划外'!P154</f>
        <v>尉氏县</v>
      </c>
      <c r="AJ44">
        <f>'附件4 规划外'!Q154</f>
        <v>0</v>
      </c>
      <c r="AK44">
        <f>'附件4 规划外'!R154</f>
        <v>0</v>
      </c>
    </row>
    <row r="45" hidden="1" spans="1:37">
      <c r="A45">
        <f>'附件3 规划内'!A164</f>
        <v>163</v>
      </c>
      <c r="B45" t="str">
        <f>'附件3 规划内'!B164</f>
        <v>2019年大桥乡产业发展项目周庄村森簏服饰</v>
      </c>
      <c r="C45" t="str">
        <f>'附件3 规划内'!C164</f>
        <v>乡村振兴</v>
      </c>
      <c r="D45" t="str">
        <f>'附件3 规划内'!D164</f>
        <v>修复全自动裁床机1台；修复烫熨机一台；修复塌陷墙体330平方米，地面120平方米，窗户11个。</v>
      </c>
      <c r="E45">
        <f>'附件3 规划内'!E164</f>
        <v>3</v>
      </c>
      <c r="F45">
        <f>'附件3 规划内'!F164</f>
        <v>3</v>
      </c>
      <c r="G45">
        <f>'附件3 规划内'!G164</f>
        <v>0</v>
      </c>
      <c r="H45">
        <f>'附件3 规划内'!H164</f>
        <v>0</v>
      </c>
      <c r="I45" t="str">
        <f>'附件3 规划内'!I164</f>
        <v>完工</v>
      </c>
      <c r="J45">
        <f>'附件3 规划内'!J164</f>
        <v>3</v>
      </c>
      <c r="K45" t="str">
        <f>'附件3 规划内'!K164</f>
        <v/>
      </c>
      <c r="L45">
        <f>'附件3 规划内'!L164</f>
        <v>0</v>
      </c>
      <c r="M45" s="26">
        <f>'附件3 规划内'!M164</f>
        <v>44440</v>
      </c>
      <c r="N45" s="26">
        <f>'附件3 规划内'!N164</f>
        <v>44499</v>
      </c>
      <c r="O45" t="str">
        <f>'附件3 规划内'!O164</f>
        <v>市乡村振兴局</v>
      </c>
      <c r="P45" t="str">
        <f>'附件3 规划内'!P164</f>
        <v>尉氏县</v>
      </c>
      <c r="Q45">
        <f>'附件3 规划内'!Q164</f>
        <v>0</v>
      </c>
      <c r="R45">
        <f>'附件3 规划内'!R164</f>
        <v>0</v>
      </c>
      <c r="T45">
        <f>'附件4 规划外'!A155</f>
        <v>168</v>
      </c>
      <c r="U45" t="str">
        <f>'附件4 规划外'!B155</f>
        <v>开封市丰源新型建筑材料有限公司</v>
      </c>
      <c r="V45" t="str">
        <f>'附件4 规划外'!C155</f>
        <v>产业</v>
      </c>
      <c r="W45" t="str">
        <f>'附件4 规划外'!D155</f>
        <v>电柜：7个、电机：26台、天然气站：1座、燃烧机：2台、引风机：2台、空压机：2台、燃烧炉：1台、烘干机：1台、输送机：3套、震动筛：1台、脉冲除尘设备：1台</v>
      </c>
      <c r="X45">
        <f>'附件4 规划外'!E155</f>
        <v>1.04</v>
      </c>
      <c r="Y45">
        <f>'附件4 规划外'!F155</f>
        <v>1.04</v>
      </c>
      <c r="Z45">
        <f>'附件4 规划外'!G155</f>
        <v>0</v>
      </c>
      <c r="AA45">
        <f>'附件4 规划外'!H155</f>
        <v>0</v>
      </c>
      <c r="AB45" t="str">
        <f>'附件4 规划外'!I155</f>
        <v>完工</v>
      </c>
      <c r="AC45">
        <f>'附件4 规划外'!J155</f>
        <v>1.04</v>
      </c>
      <c r="AD45" t="str">
        <f>'附件4 规划外'!K155</f>
        <v/>
      </c>
      <c r="AE45" t="str">
        <f>'附件4 规划外'!L155</f>
        <v>竣工</v>
      </c>
      <c r="AF45">
        <f>'附件4 规划外'!M155</f>
        <v>44378</v>
      </c>
      <c r="AG45">
        <f>'附件4 规划外'!N155</f>
        <v>44440</v>
      </c>
      <c r="AH45" t="str">
        <f>'附件4 规划外'!O155</f>
        <v>市工业和信息化局</v>
      </c>
      <c r="AI45" t="str">
        <f>'附件4 规划外'!P155</f>
        <v>尉氏县</v>
      </c>
      <c r="AJ45">
        <f>'附件4 规划外'!Q155</f>
        <v>0</v>
      </c>
      <c r="AK45">
        <f>'附件4 规划外'!R155</f>
        <v>0</v>
      </c>
    </row>
    <row r="46" hidden="1" spans="1:37">
      <c r="A46">
        <f>'附件3 规划内'!A165</f>
        <v>164</v>
      </c>
      <c r="B46" t="str">
        <f>'附件3 规划内'!B165</f>
        <v>2017年大桥乡岗刘村基础设施建设项目</v>
      </c>
      <c r="C46" t="str">
        <f>'附件3 规划内'!C165</f>
        <v>乡村振兴</v>
      </c>
      <c r="D46" t="str">
        <f>'附件3 规划内'!D165</f>
        <v>修复路基</v>
      </c>
      <c r="E46">
        <f>'附件3 规划内'!E165</f>
        <v>1.631728</v>
      </c>
      <c r="F46">
        <f>'附件3 规划内'!F165</f>
        <v>1.631728</v>
      </c>
      <c r="G46">
        <f>'附件3 规划内'!G165</f>
        <v>0</v>
      </c>
      <c r="H46">
        <f>'附件3 规划内'!H165</f>
        <v>0</v>
      </c>
      <c r="I46" t="str">
        <f>'附件3 规划内'!I165</f>
        <v>完工</v>
      </c>
      <c r="J46">
        <f>'附件3 规划内'!J165</f>
        <v>1.631728</v>
      </c>
      <c r="K46" t="str">
        <f>'附件3 规划内'!K165</f>
        <v/>
      </c>
      <c r="L46">
        <f>'附件3 规划内'!L165</f>
        <v>0</v>
      </c>
      <c r="M46" s="26">
        <f>'附件3 规划内'!M165</f>
        <v>44440</v>
      </c>
      <c r="N46" s="26">
        <f>'附件3 规划内'!N165</f>
        <v>44499</v>
      </c>
      <c r="O46" t="str">
        <f>'附件3 规划内'!O165</f>
        <v>市乡村振兴局</v>
      </c>
      <c r="P46" t="str">
        <f>'附件3 规划内'!P165</f>
        <v>尉氏县</v>
      </c>
      <c r="Q46">
        <f>'附件3 规划内'!Q165</f>
        <v>0</v>
      </c>
      <c r="R46">
        <f>'附件3 规划内'!R165</f>
        <v>0</v>
      </c>
      <c r="T46">
        <f>'附件4 规划外'!A156</f>
        <v>169</v>
      </c>
      <c r="U46" t="str">
        <f>'附件4 规划外'!B156</f>
        <v>尉氏县水坡镇吸管厂</v>
      </c>
      <c r="V46" t="str">
        <f>'附件4 规划外'!C156</f>
        <v>产业</v>
      </c>
      <c r="W46" t="str">
        <f>'附件4 规划外'!D156</f>
        <v>JY038型吸管挤出机两条生产线，JY030型全自动吸管多支包装机3台，JY033型全自动单支连排包装机2台</v>
      </c>
      <c r="X46">
        <f>'附件4 规划外'!E156</f>
        <v>89</v>
      </c>
      <c r="Y46">
        <f>'附件4 规划外'!F156</f>
        <v>89</v>
      </c>
      <c r="Z46">
        <f>'附件4 规划外'!G156</f>
        <v>0</v>
      </c>
      <c r="AA46">
        <f>'附件4 规划外'!H156</f>
        <v>0</v>
      </c>
      <c r="AB46" t="str">
        <f>'附件4 规划外'!I156</f>
        <v>完工</v>
      </c>
      <c r="AC46">
        <f>'附件4 规划外'!J156</f>
        <v>89</v>
      </c>
      <c r="AD46" t="str">
        <f>'附件4 规划外'!K156</f>
        <v/>
      </c>
      <c r="AE46" t="str">
        <f>'附件4 规划外'!L156</f>
        <v>竣工</v>
      </c>
      <c r="AF46">
        <f>'附件4 规划外'!M156</f>
        <v>44378</v>
      </c>
      <c r="AG46">
        <f>'附件4 规划外'!N156</f>
        <v>44440</v>
      </c>
      <c r="AH46" t="str">
        <f>'附件4 规划外'!O156</f>
        <v>市工业和信息化局</v>
      </c>
      <c r="AI46" t="str">
        <f>'附件4 规划外'!P156</f>
        <v>尉氏县</v>
      </c>
      <c r="AJ46">
        <f>'附件4 规划外'!Q156</f>
        <v>0</v>
      </c>
      <c r="AK46">
        <f>'附件4 规划外'!R156</f>
        <v>0</v>
      </c>
    </row>
    <row r="47" hidden="1" spans="1:37">
      <c r="A47">
        <f>'附件3 规划内'!A166</f>
        <v>165</v>
      </c>
      <c r="B47" t="str">
        <f>'附件3 规划内'!B166</f>
        <v>2017年度小陈乡靳老村乡村道路建设项目</v>
      </c>
      <c r="C47" t="str">
        <f>'附件3 规划内'!C166</f>
        <v>乡村振兴</v>
      </c>
      <c r="D47" t="str">
        <f>'附件3 规划内'!D166</f>
        <v>修复路基、路面100平方米</v>
      </c>
      <c r="E47">
        <f>'附件3 规划内'!E166</f>
        <v>1.5</v>
      </c>
      <c r="F47">
        <f>'附件3 规划内'!F166</f>
        <v>1.5</v>
      </c>
      <c r="G47">
        <f>'附件3 规划内'!G166</f>
        <v>0</v>
      </c>
      <c r="H47">
        <f>'附件3 规划内'!H166</f>
        <v>0</v>
      </c>
      <c r="I47" t="str">
        <f>'附件3 规划内'!I166</f>
        <v>完工</v>
      </c>
      <c r="J47">
        <f>'附件3 规划内'!J166</f>
        <v>1.5</v>
      </c>
      <c r="K47" t="str">
        <f>'附件3 规划内'!K166</f>
        <v/>
      </c>
      <c r="L47">
        <f>'附件3 规划内'!L166</f>
        <v>0</v>
      </c>
      <c r="M47" s="26">
        <f>'附件3 规划内'!M166</f>
        <v>44440</v>
      </c>
      <c r="N47" s="26">
        <f>'附件3 规划内'!N166</f>
        <v>44499</v>
      </c>
      <c r="O47" t="str">
        <f>'附件3 规划内'!O166</f>
        <v>市乡村振兴局</v>
      </c>
      <c r="P47" t="str">
        <f>'附件3 规划内'!P166</f>
        <v>尉氏县</v>
      </c>
      <c r="Q47">
        <f>'附件3 规划内'!Q166</f>
        <v>0</v>
      </c>
      <c r="R47">
        <f>'附件3 规划内'!R166</f>
        <v>0</v>
      </c>
      <c r="T47">
        <f>'附件4 规划外'!A157</f>
        <v>170</v>
      </c>
      <c r="U47" t="str">
        <f>'附件4 规划外'!B157</f>
        <v>河南森林金源科技发展有限公司</v>
      </c>
      <c r="V47" t="str">
        <f>'附件4 规划外'!C157</f>
        <v>产业</v>
      </c>
      <c r="W47" t="str">
        <f>'附件4 规划外'!D157</f>
        <v>50kw发电机组1套
消防机组 1套
激光切割机1台
电焊机8台
高精度开板机4台
覆膜机 1台
40吨折弯机 1台
20吨折弯机 1台
螺杆机气泵4台
18Kw脉冲除尘器2台
液压校平机1台
冲床1台
攻丝机1台</v>
      </c>
      <c r="X47">
        <f>'附件4 规划外'!E157</f>
        <v>8</v>
      </c>
      <c r="Y47">
        <f>'附件4 规划外'!F157</f>
        <v>8</v>
      </c>
      <c r="Z47">
        <f>'附件4 规划外'!G157</f>
        <v>0</v>
      </c>
      <c r="AA47">
        <f>'附件4 规划外'!H157</f>
        <v>0</v>
      </c>
      <c r="AB47" t="str">
        <f>'附件4 规划外'!I157</f>
        <v>完工</v>
      </c>
      <c r="AC47">
        <f>'附件4 规划外'!J157</f>
        <v>8</v>
      </c>
      <c r="AD47" t="str">
        <f>'附件4 规划外'!K157</f>
        <v/>
      </c>
      <c r="AE47" t="str">
        <f>'附件4 规划外'!L157</f>
        <v>竣工</v>
      </c>
      <c r="AF47">
        <f>'附件4 规划外'!M157</f>
        <v>44378</v>
      </c>
      <c r="AG47">
        <f>'附件4 规划外'!N157</f>
        <v>44440</v>
      </c>
      <c r="AH47" t="str">
        <f>'附件4 规划外'!O157</f>
        <v>市工业和信息化局</v>
      </c>
      <c r="AI47" t="str">
        <f>'附件4 规划外'!P157</f>
        <v>尉氏县</v>
      </c>
      <c r="AJ47">
        <f>'附件4 规划外'!Q157</f>
        <v>0</v>
      </c>
      <c r="AK47">
        <f>'附件4 规划外'!R157</f>
        <v>0</v>
      </c>
    </row>
    <row r="48" hidden="1" spans="1:37">
      <c r="A48">
        <f>'附件3 规划内'!A167</f>
        <v>166</v>
      </c>
      <c r="B48" t="str">
        <f>'附件3 规划内'!B167</f>
        <v>2020年度岗李乡冉村建设食用菌大棚、保鲜库产业扶贫项目</v>
      </c>
      <c r="C48" t="str">
        <f>'附件3 规划内'!C167</f>
        <v>乡村振兴</v>
      </c>
      <c r="D48" t="str">
        <f>'附件3 规划内'!D167</f>
        <v>修复沉淀池2个，一个大棚称重柱子下沉，棚顶破损</v>
      </c>
      <c r="E48">
        <f>'附件3 规划内'!E167</f>
        <v>2.5</v>
      </c>
      <c r="F48">
        <f>'附件3 规划内'!F167</f>
        <v>2.5</v>
      </c>
      <c r="G48">
        <f>'附件3 规划内'!G167</f>
        <v>0</v>
      </c>
      <c r="H48">
        <f>'附件3 规划内'!H167</f>
        <v>0</v>
      </c>
      <c r="I48" t="str">
        <f>'附件3 规划内'!I167</f>
        <v>完工</v>
      </c>
      <c r="J48">
        <f>'附件3 规划内'!J167</f>
        <v>2.5</v>
      </c>
      <c r="K48" t="str">
        <f>'附件3 规划内'!K167</f>
        <v/>
      </c>
      <c r="L48">
        <f>'附件3 规划内'!L167</f>
        <v>0</v>
      </c>
      <c r="M48" s="26">
        <f>'附件3 规划内'!M167</f>
        <v>44440</v>
      </c>
      <c r="N48" s="26">
        <f>'附件3 规划内'!N167</f>
        <v>44499</v>
      </c>
      <c r="O48" t="str">
        <f>'附件3 规划内'!O167</f>
        <v>市乡村振兴局</v>
      </c>
      <c r="P48" t="str">
        <f>'附件3 规划内'!P167</f>
        <v>尉氏县</v>
      </c>
      <c r="Q48">
        <f>'附件3 规划内'!Q167</f>
        <v>0</v>
      </c>
      <c r="R48">
        <f>'附件3 规划内'!R167</f>
        <v>0</v>
      </c>
      <c r="T48">
        <f>'附件4 规划外'!A158</f>
        <v>171</v>
      </c>
      <c r="U48" t="str">
        <f>'附件4 规划外'!B158</f>
        <v>开封市欧仕达金属有限公司</v>
      </c>
      <c r="V48" t="str">
        <f>'附件4 规划外'!C158</f>
        <v>产业</v>
      </c>
      <c r="W48" t="str">
        <f>'附件4 规划外'!D158</f>
        <v>地磅、叉车、截锭机、光谱设备、生产线进水无法使用</v>
      </c>
      <c r="X48">
        <f>'附件4 规划外'!E158</f>
        <v>6.5</v>
      </c>
      <c r="Y48">
        <f>'附件4 规划外'!F158</f>
        <v>6.5</v>
      </c>
      <c r="Z48">
        <f>'附件4 规划外'!G158</f>
        <v>0</v>
      </c>
      <c r="AA48">
        <f>'附件4 规划外'!H158</f>
        <v>0</v>
      </c>
      <c r="AB48" t="str">
        <f>'附件4 规划外'!I158</f>
        <v>完工</v>
      </c>
      <c r="AC48">
        <f>'附件4 规划外'!J158</f>
        <v>6.5</v>
      </c>
      <c r="AD48" t="str">
        <f>'附件4 规划外'!K158</f>
        <v/>
      </c>
      <c r="AE48" t="str">
        <f>'附件4 规划外'!L158</f>
        <v>竣工</v>
      </c>
      <c r="AF48">
        <f>'附件4 规划外'!M158</f>
        <v>44378</v>
      </c>
      <c r="AG48">
        <f>'附件4 规划外'!N158</f>
        <v>44440</v>
      </c>
      <c r="AH48" t="str">
        <f>'附件4 规划外'!O158</f>
        <v>市工业和信息化局</v>
      </c>
      <c r="AI48" t="str">
        <f>'附件4 规划外'!P158</f>
        <v>尉氏县</v>
      </c>
      <c r="AJ48">
        <f>'附件4 规划外'!Q158</f>
        <v>0</v>
      </c>
      <c r="AK48">
        <f>'附件4 规划外'!R158</f>
        <v>0</v>
      </c>
    </row>
    <row r="49" hidden="1" spans="1:37">
      <c r="A49">
        <f>'附件3 规划内'!A168</f>
        <v>167</v>
      </c>
      <c r="B49" t="str">
        <f>'附件3 规划内'!B168</f>
        <v>2019年度尉氏县岗李乡占庄村建设扶贫加工点产业扶贫项目</v>
      </c>
      <c r="C49" t="str">
        <f>'附件3 规划内'!C168</f>
        <v>乡村振兴</v>
      </c>
      <c r="D49" t="str">
        <f>'附件3 规划内'!D168</f>
        <v>修缮围墙地基、办公室吊顶1间、电动门电机1个</v>
      </c>
      <c r="E49">
        <f>'附件3 规划内'!E168</f>
        <v>1.3</v>
      </c>
      <c r="F49">
        <f>'附件3 规划内'!F168</f>
        <v>1.3</v>
      </c>
      <c r="G49">
        <f>'附件3 规划内'!G168</f>
        <v>0</v>
      </c>
      <c r="H49">
        <f>'附件3 规划内'!H168</f>
        <v>0</v>
      </c>
      <c r="I49" t="str">
        <f>'附件3 规划内'!I168</f>
        <v>完工</v>
      </c>
      <c r="J49">
        <f>'附件3 规划内'!J168</f>
        <v>1.3</v>
      </c>
      <c r="K49" t="str">
        <f>'附件3 规划内'!K168</f>
        <v/>
      </c>
      <c r="L49">
        <f>'附件3 规划内'!L168</f>
        <v>0</v>
      </c>
      <c r="M49" s="26">
        <f>'附件3 规划内'!M168</f>
        <v>44440</v>
      </c>
      <c r="N49" s="26">
        <f>'附件3 规划内'!N168</f>
        <v>44499</v>
      </c>
      <c r="O49" t="str">
        <f>'附件3 规划内'!O168</f>
        <v>市乡村振兴局</v>
      </c>
      <c r="P49" t="str">
        <f>'附件3 规划内'!P168</f>
        <v>尉氏县</v>
      </c>
      <c r="Q49">
        <f>'附件3 规划内'!Q168</f>
        <v>0</v>
      </c>
      <c r="R49">
        <f>'附件3 规划内'!R168</f>
        <v>0</v>
      </c>
      <c r="T49">
        <f>'附件4 规划外'!A159</f>
        <v>172</v>
      </c>
      <c r="U49" t="str">
        <f>'附件4 规划外'!B159</f>
        <v>开封市弘发轨道交通装备有限公司</v>
      </c>
      <c r="V49" t="str">
        <f>'附件4 规划外'!C159</f>
        <v>产业</v>
      </c>
      <c r="W49" t="str">
        <f>'附件4 规划外'!D159</f>
        <v>中频炉、电阻炉、射芯机、造型机、混砂机、电焊机、压力机、气刨机、车床、铣床、钻床、刨床、锯床、起重机、抛丸机、变压器、光谱仪、拉力机、硬度机、冲击机、探伤机、低温槽、各种生产模具等设备510台进水报废无法使用</v>
      </c>
      <c r="X49">
        <f>'附件4 规划外'!E159</f>
        <v>22</v>
      </c>
      <c r="Y49">
        <f>'附件4 规划外'!F159</f>
        <v>22</v>
      </c>
      <c r="Z49">
        <f>'附件4 规划外'!G159</f>
        <v>0</v>
      </c>
      <c r="AA49">
        <f>'附件4 规划外'!H159</f>
        <v>0</v>
      </c>
      <c r="AB49" t="str">
        <f>'附件4 规划外'!I159</f>
        <v>完工</v>
      </c>
      <c r="AC49">
        <f>'附件4 规划外'!J159</f>
        <v>22</v>
      </c>
      <c r="AD49" t="str">
        <f>'附件4 规划外'!K159</f>
        <v/>
      </c>
      <c r="AE49" t="str">
        <f>'附件4 规划外'!L159</f>
        <v>竣工</v>
      </c>
      <c r="AF49">
        <f>'附件4 规划外'!M159</f>
        <v>44378</v>
      </c>
      <c r="AG49">
        <f>'附件4 规划外'!N159</f>
        <v>44440</v>
      </c>
      <c r="AH49" t="str">
        <f>'附件4 规划外'!O159</f>
        <v>市工业和信息化局</v>
      </c>
      <c r="AI49" t="str">
        <f>'附件4 规划外'!P159</f>
        <v>尉氏县</v>
      </c>
      <c r="AJ49">
        <f>'附件4 规划外'!Q159</f>
        <v>0</v>
      </c>
      <c r="AK49">
        <f>'附件4 规划外'!R159</f>
        <v>0</v>
      </c>
    </row>
    <row r="50" hidden="1" spans="1:37">
      <c r="A50">
        <f>'附件3 规划内'!A169</f>
        <v>168</v>
      </c>
      <c r="B50" t="str">
        <f>'附件3 规划内'!B169</f>
        <v>尉氏县水坡镇仝家村蔬菜大棚项目</v>
      </c>
      <c r="C50" t="str">
        <f>'附件3 规划内'!C169</f>
        <v>乡村振兴</v>
      </c>
      <c r="D50" t="str">
        <f>'附件3 规划内'!D169</f>
        <v>34座温室蔬菜大棚（双层）。100米长、8米宽、3.5米高</v>
      </c>
      <c r="E50">
        <f>'附件3 规划内'!E169</f>
        <v>170</v>
      </c>
      <c r="F50">
        <f>'附件3 规划内'!F169</f>
        <v>2</v>
      </c>
      <c r="G50">
        <f>'附件3 规划内'!G169</f>
        <v>168</v>
      </c>
      <c r="H50">
        <f>'附件3 规划内'!H169</f>
        <v>0</v>
      </c>
      <c r="I50" t="str">
        <f>'附件3 规划内'!I169</f>
        <v>完工</v>
      </c>
      <c r="J50">
        <f>'附件3 规划内'!J169</f>
        <v>170</v>
      </c>
      <c r="K50">
        <f>'附件3 规划内'!K169</f>
        <v>168</v>
      </c>
      <c r="L50">
        <f>'附件3 规划内'!L169</f>
        <v>0</v>
      </c>
      <c r="M50" s="26">
        <f>'附件3 规划内'!M169</f>
        <v>44440</v>
      </c>
      <c r="N50" s="26">
        <f>'附件3 规划内'!N169</f>
        <v>44499</v>
      </c>
      <c r="O50" t="str">
        <f>'附件3 规划内'!O169</f>
        <v>市乡村振兴局</v>
      </c>
      <c r="P50" t="str">
        <f>'附件3 规划内'!P169</f>
        <v>尉氏县</v>
      </c>
      <c r="Q50">
        <f>'附件3 规划内'!Q169</f>
        <v>0</v>
      </c>
      <c r="R50">
        <f>'附件3 规划内'!R169</f>
        <v>0</v>
      </c>
      <c r="T50">
        <f>'附件4 规划外'!A160</f>
        <v>173</v>
      </c>
      <c r="U50" t="str">
        <f>'附件4 规划外'!B160</f>
        <v>郑州钜丰家具有限公司</v>
      </c>
      <c r="V50" t="str">
        <f>'附件4 规划外'!C160</f>
        <v>产业</v>
      </c>
      <c r="W50" t="str">
        <f>'附件4 规划外'!D160</f>
        <v>jack杰克K5-D电脑工业平缝机8台，jack杰克C4高速电脑绷缝机4台，jack杰克E3包缝机2台，jack杰克C5电脑工业拷边机2台，5T电脑升降机一台，冷轧机一台，电机3台</v>
      </c>
      <c r="X50">
        <f>'附件4 规划外'!E160</f>
        <v>5</v>
      </c>
      <c r="Y50">
        <f>'附件4 规划外'!F160</f>
        <v>5</v>
      </c>
      <c r="Z50">
        <f>'附件4 规划外'!G160</f>
        <v>0</v>
      </c>
      <c r="AA50">
        <f>'附件4 规划外'!H160</f>
        <v>0</v>
      </c>
      <c r="AB50" t="str">
        <f>'附件4 规划外'!I160</f>
        <v>完工</v>
      </c>
      <c r="AC50">
        <f>'附件4 规划外'!J160</f>
        <v>5</v>
      </c>
      <c r="AD50" t="str">
        <f>'附件4 规划外'!K160</f>
        <v/>
      </c>
      <c r="AE50" t="str">
        <f>'附件4 规划外'!L160</f>
        <v>竣工</v>
      </c>
      <c r="AF50">
        <f>'附件4 规划外'!M160</f>
        <v>44378</v>
      </c>
      <c r="AG50">
        <f>'附件4 规划外'!N160</f>
        <v>44440</v>
      </c>
      <c r="AH50" t="str">
        <f>'附件4 规划外'!O160</f>
        <v>市工业和信息化局</v>
      </c>
      <c r="AI50" t="str">
        <f>'附件4 规划外'!P160</f>
        <v>尉氏县</v>
      </c>
      <c r="AJ50">
        <f>'附件4 规划外'!Q160</f>
        <v>0</v>
      </c>
      <c r="AK50">
        <f>'附件4 规划外'!R160</f>
        <v>0</v>
      </c>
    </row>
    <row r="51" hidden="1" spans="1:37">
      <c r="A51">
        <f>'附件3 规划内'!A170</f>
        <v>169</v>
      </c>
      <c r="B51" t="str">
        <f>'附件3 规划内'!B170</f>
        <v>尉氏县水坡镇齐岗村蔬菜大棚项目</v>
      </c>
      <c r="C51" t="str">
        <f>'附件3 规划内'!C170</f>
        <v>乡村振兴</v>
      </c>
      <c r="D51" t="str">
        <f>'附件3 规划内'!D170</f>
        <v>20座温室蔬菜大棚。100米长、8米宽、3.5米高</v>
      </c>
      <c r="E51">
        <f>'附件3 规划内'!E170</f>
        <v>85</v>
      </c>
      <c r="F51">
        <f>'附件3 规划内'!F170</f>
        <v>2</v>
      </c>
      <c r="G51">
        <f>'附件3 规划内'!G170</f>
        <v>83</v>
      </c>
      <c r="H51">
        <f>'附件3 规划内'!H170</f>
        <v>0</v>
      </c>
      <c r="I51" t="str">
        <f>'附件3 规划内'!I170</f>
        <v>完工</v>
      </c>
      <c r="J51">
        <f>'附件3 规划内'!J170</f>
        <v>85</v>
      </c>
      <c r="K51">
        <f>'附件3 规划内'!K170</f>
        <v>83</v>
      </c>
      <c r="L51">
        <f>'附件3 规划内'!L170</f>
        <v>0</v>
      </c>
      <c r="M51" s="26">
        <f>'附件3 规划内'!M170</f>
        <v>44440</v>
      </c>
      <c r="N51" s="26">
        <f>'附件3 规划内'!N170</f>
        <v>44499</v>
      </c>
      <c r="O51" t="str">
        <f>'附件3 规划内'!O170</f>
        <v>市乡村振兴局</v>
      </c>
      <c r="P51" t="str">
        <f>'附件3 规划内'!P170</f>
        <v>尉氏县</v>
      </c>
      <c r="Q51">
        <f>'附件3 规划内'!Q170</f>
        <v>0</v>
      </c>
      <c r="R51">
        <f>'附件3 规划内'!R170</f>
        <v>0</v>
      </c>
      <c r="T51">
        <f>'附件4 规划外'!A161</f>
        <v>174</v>
      </c>
      <c r="U51" t="str">
        <f>'附件4 规划外'!B161</f>
        <v>开封市新科锌业有限公司</v>
      </c>
      <c r="V51" t="str">
        <f>'附件4 规划外'!C161</f>
        <v>产业</v>
      </c>
      <c r="W51" t="str">
        <f>'附件4 规划外'!D161</f>
        <v>粉碎机37KW自耦减压起动柜2台、37KW粉碎机电机、雷蒙磨132KW电机、雷蒙磨配套90KW电机、输送3KW电机、窑头二次风11kw电机、窑头收尘7.5KW电机、鄂破机7.5KW电机、20门脉冲控制仪、徐工500KV装载机4台、柳工35叉车3台、引风机132KW电机、引风机132KW变频器、引风机132KW变频器、ZX7-400电焊机3台、45KW自耦减压起动柜、粉碎机配套45KW电机、75KW自耦减压起动柜、110KW罗茨风机、110KW罗茨风机电机、30KW罗茨风机、30KW罗茨风机电机、30KW变频器、11KW变频器、4KW台磨、15KW离心泵电机6台、7.5KW离心泵电机4台、37KW空压机、高压喷雾机8台、40KW调速电机、7.5KW刮板机电机12台、40*60刮板机144米、200KW引风机变频器、200KW引风机含电机、100门脉冲控制仪2台、20门脉冲控制仪3台、7.5KW提升机电机、4KW绞龙电机6台、输送3KW电机、2.5回转窑托轮、400kva发电机组、250KW罗茨风机、250KW罗茨风机电机、250KW引风机、250KW引风机电机、250KW变频器2台、90KW罗茨风机、90KW罗茨风机电机、90KW变频器、7.5KW窑头鼓风机、7.5KW变频器、TDY75型油冷式电动滚筒、7.5KW提升机电机4台、37KW空压机2台、630kva发电机组、30KW循环水泵电机2台、7.5KW循环水泵电机2台、22KW给浆水泵电机、11KW给浆水泵电机3台、37KW罗茨风机、37KW罗茨风机电机、90KW变频器、90KW窑头收尘电机、PLC脱硫控制系统、CKG湿电除尘程控系统、工控机3台、在线UPS电源、在线制冷器、在线蠕动泵、在线紫外烟气分析仪、在线湿度仪、用电监控设施10套、门禁系统</v>
      </c>
      <c r="X51">
        <f>'附件4 规划外'!E161</f>
        <v>0</v>
      </c>
      <c r="Y51">
        <f>'附件4 规划外'!F161</f>
        <v>0</v>
      </c>
      <c r="Z51">
        <f>'附件4 规划外'!G161</f>
        <v>0</v>
      </c>
      <c r="AA51">
        <f>'附件4 规划外'!H161</f>
        <v>0</v>
      </c>
      <c r="AB51" t="str">
        <f>'附件4 规划外'!I161</f>
        <v>完工</v>
      </c>
      <c r="AC51">
        <f>'附件4 规划外'!J161</f>
        <v>0</v>
      </c>
      <c r="AD51" t="str">
        <f>'附件4 规划外'!K161</f>
        <v/>
      </c>
      <c r="AE51" t="str">
        <f>'附件4 规划外'!L161</f>
        <v>竣工</v>
      </c>
      <c r="AF51">
        <f>'附件4 规划外'!M161</f>
        <v>44378</v>
      </c>
      <c r="AG51">
        <f>'附件4 规划外'!N161</f>
        <v>44440</v>
      </c>
      <c r="AH51" t="str">
        <f>'附件4 规划外'!O161</f>
        <v>市工业和信息化局</v>
      </c>
      <c r="AI51" t="str">
        <f>'附件4 规划外'!P161</f>
        <v>尉氏县</v>
      </c>
      <c r="AJ51">
        <f>'附件4 规划外'!Q161</f>
        <v>0</v>
      </c>
      <c r="AK51">
        <f>'附件4 规划外'!R161</f>
        <v>0</v>
      </c>
    </row>
    <row r="52" hidden="1" spans="1:37">
      <c r="A52">
        <f>'附件3 规划内'!A171</f>
        <v>170</v>
      </c>
      <c r="B52" t="str">
        <f>'附件3 规划内'!B171</f>
        <v>尉氏县水坡镇老李村蔬菜大棚项目</v>
      </c>
      <c r="C52" t="str">
        <f>'附件3 规划内'!C171</f>
        <v>乡村振兴</v>
      </c>
      <c r="D52" t="str">
        <f>'附件3 规划内'!D171</f>
        <v>22座温室蔬菜大棚。100米长、8米宽、3.5米高</v>
      </c>
      <c r="E52">
        <f>'附件3 规划内'!E171</f>
        <v>100.047972</v>
      </c>
      <c r="F52">
        <f>'附件3 规划内'!F171</f>
        <v>2</v>
      </c>
      <c r="G52">
        <f>'附件3 规划内'!G171</f>
        <v>98.047972</v>
      </c>
      <c r="H52">
        <f>'附件3 规划内'!H171</f>
        <v>0</v>
      </c>
      <c r="I52" t="str">
        <f>'附件3 规划内'!I171</f>
        <v>完工</v>
      </c>
      <c r="J52">
        <f>'附件3 规划内'!J171</f>
        <v>100.047972</v>
      </c>
      <c r="K52">
        <f>'附件3 规划内'!K171</f>
        <v>98.047972</v>
      </c>
      <c r="L52">
        <f>'附件3 规划内'!L171</f>
        <v>0</v>
      </c>
      <c r="M52" s="26">
        <f>'附件3 规划内'!M171</f>
        <v>44440</v>
      </c>
      <c r="N52" s="26">
        <f>'附件3 规划内'!N171</f>
        <v>44499</v>
      </c>
      <c r="O52" t="str">
        <f>'附件3 规划内'!O171</f>
        <v>市乡村振兴局</v>
      </c>
      <c r="P52" t="str">
        <f>'附件3 规划内'!P171</f>
        <v>尉氏县</v>
      </c>
      <c r="Q52">
        <f>'附件3 规划内'!Q171</f>
        <v>0</v>
      </c>
      <c r="R52">
        <f>'附件3 规划内'!R171</f>
        <v>0</v>
      </c>
      <c r="T52">
        <f>'附件4 规划外'!A162</f>
        <v>175</v>
      </c>
      <c r="U52" t="str">
        <f>'附件4 规划外'!B162</f>
        <v>尉氏县运通金属材料有限公司</v>
      </c>
      <c r="V52" t="str">
        <f>'附件4 规划外'!C162</f>
        <v>产业</v>
      </c>
      <c r="W52" t="str">
        <f>'附件4 规划外'!D162</f>
        <v>50型铲车3台维修15万
630KW变压器1台换新6万
250KW变频器1台换新3.6万
180KW变频器1台换新1.8万
132KW变频器1台换新1.5万
90KW变频器1台换新1.2万
250KW电机2台换新24万
155KW电机1台换新8万
55KW电机3台换新12万
15KW电机15台换新15万
罗茨风机250型1台维修18万
罗茨风机155型1台维修12万
7.5KW电机15台换新9万
化验室设备一套换新20万
发电机1100KW维修12.5万
扫地车1辆维修8万
38型叉车1辆维修1万
布袋1000条换新21万
窑砖80吨换新40万
拖轮4个维修16万
浇注料30吨换新18万</v>
      </c>
      <c r="X52">
        <f>'附件4 规划外'!E162</f>
        <v>5</v>
      </c>
      <c r="Y52">
        <f>'附件4 规划外'!F162</f>
        <v>5</v>
      </c>
      <c r="Z52">
        <f>'附件4 规划外'!G162</f>
        <v>0</v>
      </c>
      <c r="AA52">
        <f>'附件4 规划外'!H162</f>
        <v>0</v>
      </c>
      <c r="AB52" t="str">
        <f>'附件4 规划外'!I162</f>
        <v>完工</v>
      </c>
      <c r="AC52">
        <f>'附件4 规划外'!J162</f>
        <v>5</v>
      </c>
      <c r="AD52" t="str">
        <f>'附件4 规划外'!K162</f>
        <v/>
      </c>
      <c r="AE52" t="str">
        <f>'附件4 规划外'!L162</f>
        <v>竣工</v>
      </c>
      <c r="AF52">
        <f>'附件4 规划外'!M162</f>
        <v>44378</v>
      </c>
      <c r="AG52">
        <f>'附件4 规划外'!N162</f>
        <v>44440</v>
      </c>
      <c r="AH52" t="str">
        <f>'附件4 规划外'!O162</f>
        <v>市工业和信息化局</v>
      </c>
      <c r="AI52" t="str">
        <f>'附件4 规划外'!P162</f>
        <v>尉氏县</v>
      </c>
      <c r="AJ52">
        <f>'附件4 规划外'!Q162</f>
        <v>0</v>
      </c>
      <c r="AK52">
        <f>'附件4 规划外'!R162</f>
        <v>0</v>
      </c>
    </row>
    <row r="53" hidden="1" spans="1:37">
      <c r="A53">
        <f>'附件3 规划内'!A172</f>
        <v>171</v>
      </c>
      <c r="B53" t="str">
        <f>'附件3 规划内'!B172</f>
        <v>尉氏县水坡镇横堤村蔬菜大棚项目</v>
      </c>
      <c r="C53" t="str">
        <f>'附件3 规划内'!C172</f>
        <v>乡村振兴</v>
      </c>
      <c r="D53" t="str">
        <f>'附件3 规划内'!D172</f>
        <v>拟建设80座大棚（冷棚），规格：宽8米，长90米，高3.2米，拟占地100亩，建设资金395余万元，棚内设施地灌和喷灌。喷灌每个棚需要180米；地灌每20个棚配一个压力罐，每一个蔬菜大棚一个浇水口。</v>
      </c>
      <c r="E53">
        <f>'附件3 规划内'!E172</f>
        <v>395</v>
      </c>
      <c r="F53">
        <f>'附件3 规划内'!F172</f>
        <v>2</v>
      </c>
      <c r="G53">
        <f>'附件3 规划内'!G172</f>
        <v>393</v>
      </c>
      <c r="H53">
        <f>'附件3 规划内'!H172</f>
        <v>0</v>
      </c>
      <c r="I53" t="str">
        <f>'附件3 规划内'!I172</f>
        <v>完工</v>
      </c>
      <c r="J53">
        <f>'附件3 规划内'!J172</f>
        <v>395</v>
      </c>
      <c r="K53">
        <f>'附件3 规划内'!K172</f>
        <v>393</v>
      </c>
      <c r="L53">
        <f>'附件3 规划内'!L172</f>
        <v>0</v>
      </c>
      <c r="M53" s="26">
        <f>'附件3 规划内'!M172</f>
        <v>44440</v>
      </c>
      <c r="N53" s="26">
        <f>'附件3 规划内'!N172</f>
        <v>44499</v>
      </c>
      <c r="O53" t="str">
        <f>'附件3 规划内'!O172</f>
        <v>市乡村振兴局</v>
      </c>
      <c r="P53" t="str">
        <f>'附件3 规划内'!P172</f>
        <v>尉氏县</v>
      </c>
      <c r="Q53">
        <f>'附件3 规划内'!Q172</f>
        <v>0</v>
      </c>
      <c r="R53">
        <f>'附件3 规划内'!R172</f>
        <v>0</v>
      </c>
      <c r="T53">
        <f>'附件4 规划外'!A163</f>
        <v>176</v>
      </c>
      <c r="U53" t="str">
        <f>'附件4 规划外'!B163</f>
        <v>河南邦辰服饰有限公司</v>
      </c>
      <c r="V53" t="str">
        <f>'附件4 规划外'!C163</f>
        <v>产业</v>
      </c>
      <c r="W53" t="str">
        <f>'附件4 规划外'!D163</f>
        <v>服装罗纹编织横机机：5台（金鹏-602）。富山平缝机：5台，型号：H9300-7D。中缝重工全自动模板机：1台，型号：GC913C-JC。富山多针机：1台，型号：HW800TA。富山锁眼机：1台，型号：HBH-1790B.烫台3台，蒸汽发生器1台12千瓦。粘合机1台，型号：NH500.大洋裁刀2台，型号DY-1603.小裁刀5台。自动松布机1台，型号：BC-2000.绘图仪一台，型号：迈瑞-205C.断布机2台，型号：大洋-2400C。裁台4台，2000*14400，2000*9600，2000*4800*2.合式粘衬机1台，型号NH500</v>
      </c>
      <c r="X53">
        <f>'附件4 规划外'!E163</f>
        <v>5.3</v>
      </c>
      <c r="Y53">
        <f>'附件4 规划外'!F163</f>
        <v>5.3</v>
      </c>
      <c r="Z53">
        <f>'附件4 规划外'!G163</f>
        <v>0</v>
      </c>
      <c r="AA53">
        <f>'附件4 规划外'!H163</f>
        <v>0</v>
      </c>
      <c r="AB53" t="str">
        <f>'附件4 规划外'!I163</f>
        <v>完工</v>
      </c>
      <c r="AC53">
        <f>'附件4 规划外'!J163</f>
        <v>5.3</v>
      </c>
      <c r="AD53" t="str">
        <f>'附件4 规划外'!K163</f>
        <v/>
      </c>
      <c r="AE53" t="str">
        <f>'附件4 规划外'!L163</f>
        <v>竣工</v>
      </c>
      <c r="AF53">
        <f>'附件4 规划外'!M163</f>
        <v>44378</v>
      </c>
      <c r="AG53">
        <f>'附件4 规划外'!N163</f>
        <v>44440</v>
      </c>
      <c r="AH53" t="str">
        <f>'附件4 规划外'!O163</f>
        <v>市工业和信息化局</v>
      </c>
      <c r="AI53" t="str">
        <f>'附件4 规划外'!P163</f>
        <v>尉氏县</v>
      </c>
      <c r="AJ53">
        <f>'附件4 规划外'!Q163</f>
        <v>0</v>
      </c>
      <c r="AK53">
        <f>'附件4 规划外'!R163</f>
        <v>0</v>
      </c>
    </row>
    <row r="54" hidden="1" spans="1:37">
      <c r="A54">
        <f>'附件3 规划内'!A173</f>
        <v>172</v>
      </c>
      <c r="B54" t="str">
        <f>'附件3 规划内'!B173</f>
        <v>水坡镇横堤村2018年扶贫车间</v>
      </c>
      <c r="C54" t="str">
        <f>'附件3 规划内'!C173</f>
        <v>乡村振兴</v>
      </c>
      <c r="D54" t="str">
        <f>'附件3 规划内'!D173</f>
        <v>修复漏雨面积260平方，修复地基20米。</v>
      </c>
      <c r="E54">
        <f>'附件3 规划内'!E173</f>
        <v>5</v>
      </c>
      <c r="F54">
        <f>'附件3 规划内'!F173</f>
        <v>5</v>
      </c>
      <c r="G54">
        <f>'附件3 规划内'!G173</f>
        <v>0</v>
      </c>
      <c r="H54">
        <f>'附件3 规划内'!H173</f>
        <v>0</v>
      </c>
      <c r="I54" t="str">
        <f>'附件3 规划内'!I173</f>
        <v>完工</v>
      </c>
      <c r="J54">
        <f>'附件3 规划内'!J173</f>
        <v>5</v>
      </c>
      <c r="K54" t="str">
        <f>'附件3 规划内'!K173</f>
        <v/>
      </c>
      <c r="L54">
        <f>'附件3 规划内'!L173</f>
        <v>0</v>
      </c>
      <c r="M54" s="26">
        <f>'附件3 规划内'!M173</f>
        <v>44440</v>
      </c>
      <c r="N54" s="26">
        <f>'附件3 规划内'!N173</f>
        <v>44499</v>
      </c>
      <c r="O54" t="str">
        <f>'附件3 规划内'!O173</f>
        <v>市乡村振兴局</v>
      </c>
      <c r="P54" t="str">
        <f>'附件3 规划内'!P173</f>
        <v>尉氏县</v>
      </c>
      <c r="Q54">
        <f>'附件3 规划内'!Q173</f>
        <v>0</v>
      </c>
      <c r="R54">
        <f>'附件3 规划内'!R173</f>
        <v>0</v>
      </c>
      <c r="T54">
        <f>'附件4 规划外'!A164</f>
        <v>177</v>
      </c>
      <c r="U54" t="str">
        <f>'附件4 规划外'!B164</f>
        <v>尉氏县和程包装材料有限公司</v>
      </c>
      <c r="V54" t="str">
        <f>'附件4 规划外'!C164</f>
        <v>产业</v>
      </c>
      <c r="W54" t="str">
        <f>'附件4 规划外'!D164</f>
        <v>免版模切机一台，收纸机一台，半自动压盒机一台，全自动粘箱机一台，空压机两台，全自动打包机一台</v>
      </c>
      <c r="X54">
        <f>'附件4 规划外'!E164</f>
        <v>120</v>
      </c>
      <c r="Y54">
        <f>'附件4 规划外'!F164</f>
        <v>120</v>
      </c>
      <c r="Z54">
        <f>'附件4 规划外'!G164</f>
        <v>0</v>
      </c>
      <c r="AA54">
        <f>'附件4 规划外'!H164</f>
        <v>0</v>
      </c>
      <c r="AB54" t="str">
        <f>'附件4 规划外'!I164</f>
        <v>完工</v>
      </c>
      <c r="AC54">
        <f>'附件4 规划外'!J164</f>
        <v>120</v>
      </c>
      <c r="AD54" t="str">
        <f>'附件4 规划外'!K164</f>
        <v/>
      </c>
      <c r="AE54" t="str">
        <f>'附件4 规划外'!L164</f>
        <v>竣工</v>
      </c>
      <c r="AF54">
        <f>'附件4 规划外'!M164</f>
        <v>44378</v>
      </c>
      <c r="AG54">
        <f>'附件4 规划外'!N164</f>
        <v>44440</v>
      </c>
      <c r="AH54" t="str">
        <f>'附件4 规划外'!O164</f>
        <v>市工业和信息化局</v>
      </c>
      <c r="AI54" t="str">
        <f>'附件4 规划外'!P164</f>
        <v>尉氏县</v>
      </c>
      <c r="AJ54">
        <f>'附件4 规划外'!Q164</f>
        <v>0</v>
      </c>
      <c r="AK54">
        <f>'附件4 规划外'!R164</f>
        <v>0</v>
      </c>
    </row>
    <row r="55" hidden="1" spans="1:37">
      <c r="A55">
        <f>'附件3 规划内'!A174</f>
        <v>173</v>
      </c>
      <c r="B55" t="str">
        <f>'附件3 规划内'!B174</f>
        <v>水坡镇横堤村2019年扶贫车间</v>
      </c>
      <c r="C55" t="str">
        <f>'附件3 规划内'!C174</f>
        <v>乡村振兴</v>
      </c>
      <c r="D55" t="str">
        <f>'附件3 规划内'!D174</f>
        <v>修复漏雨面积100平方</v>
      </c>
      <c r="E55">
        <f>'附件3 规划内'!E174</f>
        <v>1</v>
      </c>
      <c r="F55">
        <f>'附件3 规划内'!F174</f>
        <v>1</v>
      </c>
      <c r="G55">
        <f>'附件3 规划内'!G174</f>
        <v>0</v>
      </c>
      <c r="H55">
        <f>'附件3 规划内'!H174</f>
        <v>0</v>
      </c>
      <c r="I55" t="str">
        <f>'附件3 规划内'!I174</f>
        <v>完工</v>
      </c>
      <c r="J55">
        <f>'附件3 规划内'!J174</f>
        <v>1</v>
      </c>
      <c r="K55" t="str">
        <f>'附件3 规划内'!K174</f>
        <v/>
      </c>
      <c r="L55">
        <f>'附件3 规划内'!L174</f>
        <v>0</v>
      </c>
      <c r="M55" s="26">
        <f>'附件3 规划内'!M174</f>
        <v>44440</v>
      </c>
      <c r="N55" s="26">
        <f>'附件3 规划内'!N174</f>
        <v>44499</v>
      </c>
      <c r="O55" t="str">
        <f>'附件3 规划内'!O174</f>
        <v>市乡村振兴局</v>
      </c>
      <c r="P55" t="str">
        <f>'附件3 规划内'!P174</f>
        <v>尉氏县</v>
      </c>
      <c r="Q55">
        <f>'附件3 规划内'!Q174</f>
        <v>0</v>
      </c>
      <c r="R55">
        <f>'附件3 规划内'!R174</f>
        <v>0</v>
      </c>
      <c r="T55">
        <f>'附件4 规划外'!A165</f>
        <v>178</v>
      </c>
      <c r="U55" t="str">
        <f>'附件4 规划外'!B165</f>
        <v>河南省畅通橡胶制品有限公司</v>
      </c>
      <c r="V55" t="str">
        <f>'附件4 规划外'!C165</f>
        <v>产业</v>
      </c>
      <c r="W55" t="str">
        <f>'附件4 规划外'!D165</f>
        <v>变频器8台，空压机3台，冷干机2台，55千瓦电机6台，5.5瓦电机11台，3千瓦电机7台，5.5千瓦水泵，内胎磨具65套，磨光机8台，内胎硫化机29台，打包机3台，电焊机1台 切割机1台工业电风扇22台</v>
      </c>
      <c r="X55">
        <f>'附件4 规划外'!E165</f>
        <v>91.5</v>
      </c>
      <c r="Y55">
        <f>'附件4 规划外'!F165</f>
        <v>91.5</v>
      </c>
      <c r="Z55">
        <f>'附件4 规划外'!G165</f>
        <v>0</v>
      </c>
      <c r="AA55">
        <f>'附件4 规划外'!H165</f>
        <v>0</v>
      </c>
      <c r="AB55" t="str">
        <f>'附件4 规划外'!I165</f>
        <v>完工</v>
      </c>
      <c r="AC55">
        <f>'附件4 规划外'!J165</f>
        <v>91.5</v>
      </c>
      <c r="AD55" t="str">
        <f>'附件4 规划外'!K165</f>
        <v/>
      </c>
      <c r="AE55" t="str">
        <f>'附件4 规划外'!L165</f>
        <v>竣工</v>
      </c>
      <c r="AF55">
        <f>'附件4 规划外'!M165</f>
        <v>44378</v>
      </c>
      <c r="AG55">
        <f>'附件4 规划外'!N165</f>
        <v>44440</v>
      </c>
      <c r="AH55" t="str">
        <f>'附件4 规划外'!O165</f>
        <v>市工业和信息化局</v>
      </c>
      <c r="AI55" t="str">
        <f>'附件4 规划外'!P165</f>
        <v>尉氏县</v>
      </c>
      <c r="AJ55">
        <f>'附件4 规划外'!Q165</f>
        <v>0</v>
      </c>
      <c r="AK55">
        <f>'附件4 规划外'!R165</f>
        <v>0</v>
      </c>
    </row>
    <row r="56" hidden="1" spans="1:37">
      <c r="A56">
        <f>'附件3 规划内'!A175</f>
        <v>174</v>
      </c>
      <c r="B56" t="str">
        <f>'附件3 规划内'!B175</f>
        <v>2019年水坡镇横堤村基础设施项目</v>
      </c>
      <c r="C56" t="str">
        <f>'附件3 规划内'!C175</f>
        <v>乡村振兴</v>
      </c>
      <c r="D56" t="str">
        <f>'附件3 规划内'!D175</f>
        <v>修复路面60米：土方长60米，宽3米，深1.8米；基础外挖长60米，宽4.5米；路面修复长60米，宽3米；护坡长60米，宽2米。</v>
      </c>
      <c r="E56">
        <f>'附件3 规划内'!E175</f>
        <v>5</v>
      </c>
      <c r="F56">
        <f>'附件3 规划内'!F175</f>
        <v>5</v>
      </c>
      <c r="G56">
        <f>'附件3 规划内'!G175</f>
        <v>0</v>
      </c>
      <c r="H56">
        <f>'附件3 规划内'!H175</f>
        <v>0</v>
      </c>
      <c r="I56" t="str">
        <f>'附件3 规划内'!I175</f>
        <v>完工</v>
      </c>
      <c r="J56">
        <f>'附件3 规划内'!J175</f>
        <v>5</v>
      </c>
      <c r="K56" t="str">
        <f>'附件3 规划内'!K175</f>
        <v/>
      </c>
      <c r="L56">
        <f>'附件3 规划内'!L175</f>
        <v>0</v>
      </c>
      <c r="M56" s="26">
        <f>'附件3 规划内'!M175</f>
        <v>44440</v>
      </c>
      <c r="N56" s="26">
        <f>'附件3 规划内'!N175</f>
        <v>44499</v>
      </c>
      <c r="O56" t="str">
        <f>'附件3 规划内'!O175</f>
        <v>市乡村振兴局</v>
      </c>
      <c r="P56" t="str">
        <f>'附件3 规划内'!P175</f>
        <v>尉氏县</v>
      </c>
      <c r="Q56">
        <f>'附件3 规划内'!Q175</f>
        <v>0</v>
      </c>
      <c r="R56">
        <f>'附件3 规划内'!R175</f>
        <v>0</v>
      </c>
      <c r="T56">
        <f>'附件4 规划外'!A166</f>
        <v>179</v>
      </c>
      <c r="U56" t="str">
        <f>'附件4 规划外'!B166</f>
        <v>河南优德医疗设备有限公司</v>
      </c>
      <c r="V56" t="str">
        <f>'附件4 规划外'!C166</f>
        <v>产业</v>
      </c>
      <c r="W56" t="str">
        <f>'附件4 规划外'!D166</f>
        <v>氩弧焊/二保焊机8台</v>
      </c>
      <c r="X56">
        <f>'附件4 规划外'!E166</f>
        <v>10</v>
      </c>
      <c r="Y56">
        <f>'附件4 规划外'!F166</f>
        <v>10</v>
      </c>
      <c r="Z56">
        <f>'附件4 规划外'!G166</f>
        <v>0</v>
      </c>
      <c r="AA56">
        <f>'附件4 规划外'!H166</f>
        <v>0</v>
      </c>
      <c r="AB56" t="str">
        <f>'附件4 规划外'!I166</f>
        <v>完工</v>
      </c>
      <c r="AC56">
        <f>'附件4 规划外'!J166</f>
        <v>10</v>
      </c>
      <c r="AD56" t="str">
        <f>'附件4 规划外'!K166</f>
        <v/>
      </c>
      <c r="AE56" t="str">
        <f>'附件4 规划外'!L166</f>
        <v>竣工</v>
      </c>
      <c r="AF56">
        <f>'附件4 规划外'!M166</f>
        <v>44378</v>
      </c>
      <c r="AG56">
        <f>'附件4 规划外'!N166</f>
        <v>44440</v>
      </c>
      <c r="AH56" t="str">
        <f>'附件4 规划外'!O166</f>
        <v>市工业和信息化局</v>
      </c>
      <c r="AI56" t="str">
        <f>'附件4 规划外'!P166</f>
        <v>尉氏县</v>
      </c>
      <c r="AJ56">
        <f>'附件4 规划外'!Q166</f>
        <v>0</v>
      </c>
      <c r="AK56">
        <f>'附件4 规划外'!R166</f>
        <v>0</v>
      </c>
    </row>
    <row r="57" hidden="1" spans="1:37">
      <c r="A57">
        <f>'附件3 规划内'!A176</f>
        <v>175</v>
      </c>
      <c r="B57" t="str">
        <f>'附件3 规划内'!B176</f>
        <v>2020年永兴镇刘符陈村基础设施建设</v>
      </c>
      <c r="C57" t="str">
        <f>'附件3 规划内'!C176</f>
        <v>乡村振兴</v>
      </c>
      <c r="D57" t="str">
        <f>'附件3 规划内'!D176</f>
        <v>修复道路路基30米，120平方米</v>
      </c>
      <c r="E57">
        <f>'附件3 规划内'!E176</f>
        <v>1.7483</v>
      </c>
      <c r="F57">
        <f>'附件3 规划内'!F176</f>
        <v>1.7483</v>
      </c>
      <c r="G57">
        <f>'附件3 规划内'!G176</f>
        <v>0</v>
      </c>
      <c r="H57">
        <f>'附件3 规划内'!H176</f>
        <v>0</v>
      </c>
      <c r="I57" t="str">
        <f>'附件3 规划内'!I176</f>
        <v>完工</v>
      </c>
      <c r="J57">
        <f>'附件3 规划内'!J176</f>
        <v>1.7483</v>
      </c>
      <c r="K57" t="str">
        <f>'附件3 规划内'!K176</f>
        <v/>
      </c>
      <c r="L57">
        <f>'附件3 规划内'!L176</f>
        <v>0</v>
      </c>
      <c r="M57" s="26">
        <f>'附件3 规划内'!M176</f>
        <v>44440</v>
      </c>
      <c r="N57" s="26">
        <f>'附件3 规划内'!N176</f>
        <v>44499</v>
      </c>
      <c r="O57" t="str">
        <f>'附件3 规划内'!O176</f>
        <v>市乡村振兴局</v>
      </c>
      <c r="P57" t="str">
        <f>'附件3 规划内'!P176</f>
        <v>尉氏县</v>
      </c>
      <c r="Q57">
        <f>'附件3 规划内'!Q176</f>
        <v>0</v>
      </c>
      <c r="R57">
        <f>'附件3 规划内'!R176</f>
        <v>0</v>
      </c>
      <c r="T57">
        <f>'附件4 规划外'!A167</f>
        <v>180</v>
      </c>
      <c r="U57" t="str">
        <f>'附件4 规划外'!B167</f>
        <v>河南省福久久门业有限公司</v>
      </c>
      <c r="V57" t="str">
        <f>'附件4 规划外'!C167</f>
        <v>产业</v>
      </c>
      <c r="W57" t="str">
        <f>'附件4 规划外'!D167</f>
        <v>光纤激光切割设备1台，门框滚花机1台，液压冲床2台，螺杆空压机1台，空气干燥机1台，液压翻边机一台，二保焊机6台，</v>
      </c>
      <c r="X57">
        <f>'附件4 规划外'!E167</f>
        <v>0</v>
      </c>
      <c r="Y57">
        <f>'附件4 规划外'!F167</f>
        <v>0</v>
      </c>
      <c r="Z57">
        <f>'附件4 规划外'!G167</f>
        <v>0</v>
      </c>
      <c r="AA57">
        <f>'附件4 规划外'!H167</f>
        <v>0</v>
      </c>
      <c r="AB57" t="str">
        <f>'附件4 规划外'!I167</f>
        <v>完工</v>
      </c>
      <c r="AC57">
        <f>'附件4 规划外'!J167</f>
        <v>0</v>
      </c>
      <c r="AD57" t="str">
        <f>'附件4 规划外'!K167</f>
        <v/>
      </c>
      <c r="AE57" t="str">
        <f>'附件4 规划外'!L167</f>
        <v>竣工</v>
      </c>
      <c r="AF57">
        <f>'附件4 规划外'!M167</f>
        <v>44378</v>
      </c>
      <c r="AG57">
        <f>'附件4 规划外'!N167</f>
        <v>44440</v>
      </c>
      <c r="AH57" t="str">
        <f>'附件4 规划外'!O167</f>
        <v>市工业和信息化局</v>
      </c>
      <c r="AI57" t="str">
        <f>'附件4 规划外'!P167</f>
        <v>尉氏县</v>
      </c>
      <c r="AJ57">
        <f>'附件4 规划外'!Q167</f>
        <v>0</v>
      </c>
      <c r="AK57">
        <f>'附件4 规划外'!R167</f>
        <v>0</v>
      </c>
    </row>
    <row r="58" hidden="1" spans="1:37">
      <c r="A58">
        <f>'附件3 规划内'!A177</f>
        <v>176</v>
      </c>
      <c r="B58" t="str">
        <f>'附件3 规划内'!B177</f>
        <v>2019年永兴镇刘符陈村基础设施建设</v>
      </c>
      <c r="C58" t="str">
        <f>'附件3 规划内'!C177</f>
        <v>乡村振兴</v>
      </c>
      <c r="D58" t="str">
        <f>'附件3 规划内'!D177</f>
        <v>修复道路路基20米，80平方米</v>
      </c>
      <c r="E58">
        <f>'附件3 规划内'!E177</f>
        <v>1.1656</v>
      </c>
      <c r="F58">
        <f>'附件3 规划内'!F177</f>
        <v>1.1656</v>
      </c>
      <c r="G58">
        <f>'附件3 规划内'!G177</f>
        <v>0</v>
      </c>
      <c r="H58">
        <f>'附件3 规划内'!H177</f>
        <v>0</v>
      </c>
      <c r="I58" t="str">
        <f>'附件3 规划内'!I177</f>
        <v>完工</v>
      </c>
      <c r="J58">
        <f>'附件3 规划内'!J177</f>
        <v>1.1656</v>
      </c>
      <c r="K58" t="str">
        <f>'附件3 规划内'!K177</f>
        <v/>
      </c>
      <c r="L58">
        <f>'附件3 规划内'!L177</f>
        <v>0</v>
      </c>
      <c r="M58" s="26">
        <f>'附件3 规划内'!M177</f>
        <v>44440</v>
      </c>
      <c r="N58" s="26">
        <f>'附件3 规划内'!N177</f>
        <v>44499</v>
      </c>
      <c r="O58" t="str">
        <f>'附件3 规划内'!O177</f>
        <v>市乡村振兴局</v>
      </c>
      <c r="P58" t="str">
        <f>'附件3 规划内'!P177</f>
        <v>尉氏县</v>
      </c>
      <c r="Q58">
        <f>'附件3 规划内'!Q177</f>
        <v>0</v>
      </c>
      <c r="R58">
        <f>'附件3 规划内'!R177</f>
        <v>0</v>
      </c>
      <c r="T58">
        <f>'附件4 规划外'!A168</f>
        <v>181</v>
      </c>
      <c r="U58" t="str">
        <f>'附件4 规划外'!B168</f>
        <v>开封市汇洁纺织有限公司</v>
      </c>
      <c r="V58" t="str">
        <f>'附件4 规划外'!C168</f>
        <v>产业</v>
      </c>
      <c r="W58" t="str">
        <f>'附件4 规划外'!D168</f>
        <v>压缩机1台，空压机2台，储气罐6个，冷冻式干燥机1台，小型定型机4台，离心风机5台，蒸汽定型机1台，定型架子8套，定型板5000个，袜子直缝机4台，织袜机120台，变压器1台</v>
      </c>
      <c r="X58">
        <f>'附件4 规划外'!E168</f>
        <v>5.555</v>
      </c>
      <c r="Y58">
        <f>'附件4 规划外'!F168</f>
        <v>5.555</v>
      </c>
      <c r="Z58">
        <f>'附件4 规划外'!G168</f>
        <v>0</v>
      </c>
      <c r="AA58">
        <f>'附件4 规划外'!H168</f>
        <v>0</v>
      </c>
      <c r="AB58" t="str">
        <f>'附件4 规划外'!I168</f>
        <v>完工</v>
      </c>
      <c r="AC58">
        <f>'附件4 规划外'!J168</f>
        <v>5.555</v>
      </c>
      <c r="AD58" t="str">
        <f>'附件4 规划外'!K168</f>
        <v/>
      </c>
      <c r="AE58" t="str">
        <f>'附件4 规划外'!L168</f>
        <v>竣工</v>
      </c>
      <c r="AF58">
        <f>'附件4 规划外'!M168</f>
        <v>44378</v>
      </c>
      <c r="AG58">
        <f>'附件4 规划外'!N168</f>
        <v>44440</v>
      </c>
      <c r="AH58" t="str">
        <f>'附件4 规划外'!O168</f>
        <v>市工业和信息化局</v>
      </c>
      <c r="AI58" t="str">
        <f>'附件4 规划外'!P168</f>
        <v>尉氏县</v>
      </c>
      <c r="AJ58">
        <f>'附件4 规划外'!Q168</f>
        <v>0</v>
      </c>
      <c r="AK58">
        <f>'附件4 规划外'!R168</f>
        <v>0</v>
      </c>
    </row>
    <row r="59" hidden="1" spans="1:37">
      <c r="A59">
        <f>'附件3 规划内'!A178</f>
        <v>177</v>
      </c>
      <c r="B59" t="str">
        <f>'附件3 规划内'!B178</f>
        <v>2020张市镇沈家村晋冬枣温室大棚</v>
      </c>
      <c r="C59" t="str">
        <f>'附件3 规划内'!C178</f>
        <v>乡村振兴</v>
      </c>
      <c r="D59" t="str">
        <f>'附件3 规划内'!D178</f>
        <v>沈家村2座大棚棚膜更换</v>
      </c>
      <c r="E59">
        <f>'附件3 规划内'!E178</f>
        <v>3</v>
      </c>
      <c r="F59">
        <f>'附件3 规划内'!F178</f>
        <v>3</v>
      </c>
      <c r="G59">
        <f>'附件3 规划内'!G178</f>
        <v>0</v>
      </c>
      <c r="H59">
        <f>'附件3 规划内'!H178</f>
        <v>0</v>
      </c>
      <c r="I59" t="str">
        <f>'附件3 规划内'!I178</f>
        <v>完工</v>
      </c>
      <c r="J59">
        <f>'附件3 规划内'!J178</f>
        <v>3</v>
      </c>
      <c r="K59" t="str">
        <f>'附件3 规划内'!K178</f>
        <v/>
      </c>
      <c r="L59">
        <f>'附件3 规划内'!L178</f>
        <v>0</v>
      </c>
      <c r="M59" s="26">
        <f>'附件3 规划内'!M178</f>
        <v>44440</v>
      </c>
      <c r="N59" s="26">
        <f>'附件3 规划内'!N178</f>
        <v>44499</v>
      </c>
      <c r="O59" t="str">
        <f>'附件3 规划内'!O178</f>
        <v>市乡村振兴局</v>
      </c>
      <c r="P59" t="str">
        <f>'附件3 规划内'!P178</f>
        <v>尉氏县</v>
      </c>
      <c r="Q59">
        <f>'附件3 规划内'!Q178</f>
        <v>0</v>
      </c>
      <c r="R59">
        <f>'附件3 规划内'!R178</f>
        <v>0</v>
      </c>
      <c r="T59">
        <f>'附件4 规划外'!A169</f>
        <v>182</v>
      </c>
      <c r="U59" t="str">
        <f>'附件4 规划外'!B169</f>
        <v>河南飞皇绝热材料有限公司</v>
      </c>
      <c r="V59" t="str">
        <f>'附件4 规划外'!C169</f>
        <v>产业</v>
      </c>
      <c r="W59" t="str">
        <f>'附件4 规划外'!D169</f>
        <v>涂料自动灌装自动生产线一条（三华科技有限公司制造）；干粉砂浆自动包装机和高位码垛一体线一条（苏州国衡机电有限公司，型号PVPE-100)；干粉砂浆自动包装机和高位码垛一体线一条（苏州国衡机电有限公司，型号PVPE-S)</v>
      </c>
      <c r="X59">
        <f>'附件4 规划外'!E169</f>
        <v>13</v>
      </c>
      <c r="Y59">
        <f>'附件4 规划外'!F169</f>
        <v>13</v>
      </c>
      <c r="Z59">
        <f>'附件4 规划外'!G169</f>
        <v>0</v>
      </c>
      <c r="AA59">
        <f>'附件4 规划外'!H169</f>
        <v>0</v>
      </c>
      <c r="AB59" t="str">
        <f>'附件4 规划外'!I169</f>
        <v>完工</v>
      </c>
      <c r="AC59">
        <f>'附件4 规划外'!J169</f>
        <v>13</v>
      </c>
      <c r="AD59" t="str">
        <f>'附件4 规划外'!K169</f>
        <v/>
      </c>
      <c r="AE59" t="str">
        <f>'附件4 规划外'!L169</f>
        <v>竣工</v>
      </c>
      <c r="AF59">
        <f>'附件4 规划外'!M169</f>
        <v>44378</v>
      </c>
      <c r="AG59">
        <f>'附件4 规划外'!N169</f>
        <v>44440</v>
      </c>
      <c r="AH59" t="str">
        <f>'附件4 规划外'!O169</f>
        <v>市工业和信息化局</v>
      </c>
      <c r="AI59" t="str">
        <f>'附件4 规划外'!P169</f>
        <v>尉氏县</v>
      </c>
      <c r="AJ59">
        <f>'附件4 规划外'!Q169</f>
        <v>0</v>
      </c>
      <c r="AK59">
        <f>'附件4 规划外'!R169</f>
        <v>0</v>
      </c>
    </row>
    <row r="60" hidden="1" spans="1:37">
      <c r="A60">
        <f>'附件3 规划内'!A179</f>
        <v>178</v>
      </c>
      <c r="B60" t="str">
        <f>'附件3 规划内'!B179</f>
        <v>2019张市镇郑岗村14座大棚</v>
      </c>
      <c r="C60" t="str">
        <f>'附件3 规划内'!C179</f>
        <v>乡村振兴</v>
      </c>
      <c r="D60" t="str">
        <f>'附件3 规划内'!D179</f>
        <v>郑岗村10座大棚棚膜更换</v>
      </c>
      <c r="E60">
        <f>'附件3 规划内'!E179</f>
        <v>4</v>
      </c>
      <c r="F60">
        <f>'附件3 规划内'!F179</f>
        <v>4</v>
      </c>
      <c r="G60">
        <f>'附件3 规划内'!G179</f>
        <v>0</v>
      </c>
      <c r="H60">
        <f>'附件3 规划内'!H179</f>
        <v>0</v>
      </c>
      <c r="I60" t="str">
        <f>'附件3 规划内'!I179</f>
        <v>完工</v>
      </c>
      <c r="J60">
        <f>'附件3 规划内'!J179</f>
        <v>4</v>
      </c>
      <c r="K60" t="str">
        <f>'附件3 规划内'!K179</f>
        <v/>
      </c>
      <c r="L60">
        <f>'附件3 规划内'!L179</f>
        <v>0</v>
      </c>
      <c r="M60" s="26">
        <f>'附件3 规划内'!M179</f>
        <v>44440</v>
      </c>
      <c r="N60" s="26">
        <f>'附件3 规划内'!N179</f>
        <v>44499</v>
      </c>
      <c r="O60" t="str">
        <f>'附件3 规划内'!O179</f>
        <v>市乡村振兴局</v>
      </c>
      <c r="P60" t="str">
        <f>'附件3 规划内'!P179</f>
        <v>尉氏县</v>
      </c>
      <c r="Q60">
        <f>'附件3 规划内'!Q179</f>
        <v>0</v>
      </c>
      <c r="R60">
        <f>'附件3 规划内'!R179</f>
        <v>0</v>
      </c>
      <c r="T60">
        <f>'附件4 规划外'!A170</f>
        <v>183</v>
      </c>
      <c r="U60" t="str">
        <f>'附件4 规划外'!B170</f>
        <v>河南加赢新能源科技有限公司</v>
      </c>
      <c r="V60" t="str">
        <f>'附件4 规划外'!C170</f>
        <v>产业</v>
      </c>
      <c r="W60" t="str">
        <f>'附件4 规划外'!D170</f>
        <v>搅拌输送机1套，制粒机3套(压轮压盘损毁)，电焊机3台、备用配件（轴承3套、压轮3套、模具150个）</v>
      </c>
      <c r="X60">
        <f>'附件4 规划外'!E170</f>
        <v>96</v>
      </c>
      <c r="Y60">
        <f>'附件4 规划外'!F170</f>
        <v>96</v>
      </c>
      <c r="Z60">
        <f>'附件4 规划外'!G170</f>
        <v>0</v>
      </c>
      <c r="AA60">
        <f>'附件4 规划外'!H170</f>
        <v>0</v>
      </c>
      <c r="AB60" t="str">
        <f>'附件4 规划外'!I170</f>
        <v>完工</v>
      </c>
      <c r="AC60">
        <f>'附件4 规划外'!J170</f>
        <v>96</v>
      </c>
      <c r="AD60" t="str">
        <f>'附件4 规划外'!K170</f>
        <v/>
      </c>
      <c r="AE60" t="str">
        <f>'附件4 规划外'!L170</f>
        <v>竣工</v>
      </c>
      <c r="AF60">
        <f>'附件4 规划外'!M170</f>
        <v>44378</v>
      </c>
      <c r="AG60">
        <f>'附件4 规划外'!N170</f>
        <v>44440</v>
      </c>
      <c r="AH60" t="str">
        <f>'附件4 规划外'!O170</f>
        <v>市工业和信息化局</v>
      </c>
      <c r="AI60" t="str">
        <f>'附件4 规划外'!P170</f>
        <v>尉氏县</v>
      </c>
      <c r="AJ60">
        <f>'附件4 规划外'!Q170</f>
        <v>0</v>
      </c>
      <c r="AK60">
        <f>'附件4 规划外'!R170</f>
        <v>0</v>
      </c>
    </row>
    <row r="61" hidden="1" spans="1:37">
      <c r="A61">
        <f>'附件3 规划内'!A180</f>
        <v>179</v>
      </c>
      <c r="B61" t="str">
        <f>'附件3 规划内'!B180</f>
        <v>2019张市镇边岗村大棚建设</v>
      </c>
      <c r="C61" t="str">
        <f>'附件3 规划内'!C180</f>
        <v>乡村振兴</v>
      </c>
      <c r="D61" t="str">
        <f>'附件3 规划内'!D180</f>
        <v>边岗村4座大棚棚膜更换</v>
      </c>
      <c r="E61">
        <f>'附件3 规划内'!E180</f>
        <v>4.3</v>
      </c>
      <c r="F61">
        <f>'附件3 规划内'!F180</f>
        <v>4.3</v>
      </c>
      <c r="G61">
        <f>'附件3 规划内'!G180</f>
        <v>0</v>
      </c>
      <c r="H61">
        <f>'附件3 规划内'!H180</f>
        <v>0</v>
      </c>
      <c r="I61" t="str">
        <f>'附件3 规划内'!I180</f>
        <v>完工</v>
      </c>
      <c r="J61">
        <f>'附件3 规划内'!J180</f>
        <v>4.3</v>
      </c>
      <c r="K61" t="str">
        <f>'附件3 规划内'!K180</f>
        <v/>
      </c>
      <c r="L61">
        <f>'附件3 规划内'!L180</f>
        <v>0</v>
      </c>
      <c r="M61" s="26">
        <f>'附件3 规划内'!M180</f>
        <v>44440</v>
      </c>
      <c r="N61" s="26">
        <f>'附件3 规划内'!N180</f>
        <v>44499</v>
      </c>
      <c r="O61" t="str">
        <f>'附件3 规划内'!O180</f>
        <v>市乡村振兴局</v>
      </c>
      <c r="P61" t="str">
        <f>'附件3 规划内'!P180</f>
        <v>尉氏县</v>
      </c>
      <c r="Q61">
        <f>'附件3 规划内'!Q180</f>
        <v>0</v>
      </c>
      <c r="R61">
        <f>'附件3 规划内'!R180</f>
        <v>0</v>
      </c>
      <c r="T61">
        <f>'附件4 规划外'!A171</f>
        <v>184</v>
      </c>
      <c r="U61" t="str">
        <f>'附件4 规划外'!B171</f>
        <v>尉氏县超群食品有限公司</v>
      </c>
      <c r="V61" t="str">
        <f>'附件4 规划外'!C171</f>
        <v>产业</v>
      </c>
      <c r="W61" t="str">
        <f>'附件4 规划外'!D171</f>
        <v>4台Z型提升机</v>
      </c>
      <c r="X61">
        <f>'附件4 规划外'!E171</f>
        <v>0</v>
      </c>
      <c r="Y61">
        <f>'附件4 规划外'!F171</f>
        <v>0</v>
      </c>
      <c r="Z61">
        <f>'附件4 规划外'!G171</f>
        <v>0</v>
      </c>
      <c r="AA61">
        <f>'附件4 规划外'!H171</f>
        <v>0</v>
      </c>
      <c r="AB61" t="str">
        <f>'附件4 规划外'!I171</f>
        <v>完工</v>
      </c>
      <c r="AC61">
        <f>'附件4 规划外'!J171</f>
        <v>0</v>
      </c>
      <c r="AD61" t="str">
        <f>'附件4 规划外'!K171</f>
        <v/>
      </c>
      <c r="AE61" t="str">
        <f>'附件4 规划外'!L171</f>
        <v>竣工</v>
      </c>
      <c r="AF61">
        <f>'附件4 规划外'!M171</f>
        <v>44378</v>
      </c>
      <c r="AG61">
        <f>'附件4 规划外'!N171</f>
        <v>44440</v>
      </c>
      <c r="AH61" t="str">
        <f>'附件4 规划外'!O171</f>
        <v>市工业和信息化局</v>
      </c>
      <c r="AI61" t="str">
        <f>'附件4 规划外'!P171</f>
        <v>尉氏县</v>
      </c>
      <c r="AJ61">
        <f>'附件4 规划外'!Q171</f>
        <v>0</v>
      </c>
      <c r="AK61">
        <f>'附件4 规划外'!R171</f>
        <v>0</v>
      </c>
    </row>
    <row r="62" hidden="1" spans="1:37">
      <c r="A62">
        <f>'附件3 规划内'!A181</f>
        <v>180</v>
      </c>
      <c r="B62" t="str">
        <f>'附件3 规划内'!B181</f>
        <v>2019庄头镇田家村钢结构标准棚7座</v>
      </c>
      <c r="C62" t="str">
        <f>'附件3 规划内'!C181</f>
        <v>乡村振兴</v>
      </c>
      <c r="D62" t="str">
        <f>'附件3 规划内'!D181</f>
        <v>7座修复外表塑料膜</v>
      </c>
      <c r="E62">
        <f>'附件3 规划内'!E181</f>
        <v>10</v>
      </c>
      <c r="F62">
        <f>'附件3 规划内'!F181</f>
        <v>10</v>
      </c>
      <c r="G62">
        <f>'附件3 规划内'!G181</f>
        <v>0</v>
      </c>
      <c r="H62">
        <f>'附件3 规划内'!H181</f>
        <v>0</v>
      </c>
      <c r="I62" t="str">
        <f>'附件3 规划内'!I181</f>
        <v>完工</v>
      </c>
      <c r="J62">
        <f>'附件3 规划内'!J181</f>
        <v>10</v>
      </c>
      <c r="K62" t="str">
        <f>'附件3 规划内'!K181</f>
        <v/>
      </c>
      <c r="L62">
        <f>'附件3 规划内'!L181</f>
        <v>0</v>
      </c>
      <c r="M62" s="26">
        <f>'附件3 规划内'!M181</f>
        <v>44440</v>
      </c>
      <c r="N62" s="26">
        <f>'附件3 规划内'!N181</f>
        <v>44499</v>
      </c>
      <c r="O62" t="str">
        <f>'附件3 规划内'!O181</f>
        <v>市乡村振兴局</v>
      </c>
      <c r="P62" t="str">
        <f>'附件3 规划内'!P181</f>
        <v>尉氏县</v>
      </c>
      <c r="Q62">
        <f>'附件3 规划内'!Q181</f>
        <v>0</v>
      </c>
      <c r="R62">
        <f>'附件3 规划内'!R181</f>
        <v>0</v>
      </c>
      <c r="T62">
        <f>'附件4 规划外'!A172</f>
        <v>185</v>
      </c>
      <c r="U62" t="str">
        <f>'附件4 规划外'!B172</f>
        <v>河南开心仁食品有限公司</v>
      </c>
      <c r="V62" t="str">
        <f>'附件4 规划外'!C172</f>
        <v>产业</v>
      </c>
      <c r="W62" t="str">
        <f>'附件4 规划外'!D172</f>
        <v>瓜子原料提升机电机2台Y-71m2-4炒瓜子提升机电机1台YE2-90L-2</v>
      </c>
      <c r="X62">
        <f>'附件4 规划外'!E172</f>
        <v>25</v>
      </c>
      <c r="Y62">
        <f>'附件4 规划外'!F172</f>
        <v>25</v>
      </c>
      <c r="Z62">
        <f>'附件4 规划外'!G172</f>
        <v>0</v>
      </c>
      <c r="AA62">
        <f>'附件4 规划外'!H172</f>
        <v>0</v>
      </c>
      <c r="AB62" t="str">
        <f>'附件4 规划外'!I172</f>
        <v>完工</v>
      </c>
      <c r="AC62">
        <f>'附件4 规划外'!J172</f>
        <v>25</v>
      </c>
      <c r="AD62" t="str">
        <f>'附件4 规划外'!K172</f>
        <v/>
      </c>
      <c r="AE62" t="str">
        <f>'附件4 规划外'!L172</f>
        <v>竣工</v>
      </c>
      <c r="AF62">
        <f>'附件4 规划外'!M172</f>
        <v>44378</v>
      </c>
      <c r="AG62">
        <f>'附件4 规划外'!N172</f>
        <v>44440</v>
      </c>
      <c r="AH62" t="str">
        <f>'附件4 规划外'!O172</f>
        <v>市工业和信息化局</v>
      </c>
      <c r="AI62" t="str">
        <f>'附件4 规划外'!P172</f>
        <v>尉氏县</v>
      </c>
      <c r="AJ62">
        <f>'附件4 规划外'!Q172</f>
        <v>0</v>
      </c>
      <c r="AK62">
        <f>'附件4 规划外'!R172</f>
        <v>0</v>
      </c>
    </row>
    <row r="63" hidden="1" spans="1:37">
      <c r="A63">
        <f>'附件3 规划内'!A182</f>
        <v>181</v>
      </c>
      <c r="B63" t="str">
        <f>'附件3 规划内'!B182</f>
        <v>2020庄头镇田家村钢结构标准棚3座，养殖棚2座</v>
      </c>
      <c r="C63" t="str">
        <f>'附件3 规划内'!C182</f>
        <v>乡村振兴</v>
      </c>
      <c r="D63" t="str">
        <f>'附件3 规划内'!D182</f>
        <v>3座修复外表塑料膜、2座修复外表保温棉</v>
      </c>
      <c r="E63">
        <f>'附件3 规划内'!E182</f>
        <v>10</v>
      </c>
      <c r="F63">
        <f>'附件3 规划内'!F182</f>
        <v>10</v>
      </c>
      <c r="G63">
        <f>'附件3 规划内'!G182</f>
        <v>0</v>
      </c>
      <c r="H63">
        <f>'附件3 规划内'!H182</f>
        <v>0</v>
      </c>
      <c r="I63" t="str">
        <f>'附件3 规划内'!I182</f>
        <v>完工</v>
      </c>
      <c r="J63">
        <f>'附件3 规划内'!J182</f>
        <v>10</v>
      </c>
      <c r="K63" t="str">
        <f>'附件3 规划内'!K182</f>
        <v/>
      </c>
      <c r="L63">
        <f>'附件3 规划内'!L182</f>
        <v>0</v>
      </c>
      <c r="M63" s="26">
        <f>'附件3 规划内'!M182</f>
        <v>44440</v>
      </c>
      <c r="N63" s="26">
        <f>'附件3 规划内'!N182</f>
        <v>44499</v>
      </c>
      <c r="O63" t="str">
        <f>'附件3 规划内'!O182</f>
        <v>市乡村振兴局</v>
      </c>
      <c r="P63" t="str">
        <f>'附件3 规划内'!P182</f>
        <v>尉氏县</v>
      </c>
      <c r="Q63">
        <f>'附件3 规划内'!Q182</f>
        <v>0</v>
      </c>
      <c r="R63">
        <f>'附件3 规划内'!R182</f>
        <v>0</v>
      </c>
      <c r="T63">
        <f>'附件4 规划外'!A173</f>
        <v>186</v>
      </c>
      <c r="U63" t="str">
        <f>'附件4 规划外'!B173</f>
        <v>河南省文文食品有限公司</v>
      </c>
      <c r="V63" t="str">
        <f>'附件4 规划外'!C173</f>
        <v>产业</v>
      </c>
      <c r="W63" t="str">
        <f>'附件4 规划外'!D173</f>
        <v>烘烤烤箱一台</v>
      </c>
      <c r="X63">
        <f>'附件4 规划外'!E173</f>
        <v>5.395</v>
      </c>
      <c r="Y63">
        <f>'附件4 规划外'!F173</f>
        <v>5.395</v>
      </c>
      <c r="Z63">
        <f>'附件4 规划外'!G173</f>
        <v>0</v>
      </c>
      <c r="AA63">
        <f>'附件4 规划外'!H173</f>
        <v>0</v>
      </c>
      <c r="AB63" t="str">
        <f>'附件4 规划外'!I173</f>
        <v>完工</v>
      </c>
      <c r="AC63">
        <f>'附件4 规划外'!J173</f>
        <v>5.395</v>
      </c>
      <c r="AD63" t="str">
        <f>'附件4 规划外'!K173</f>
        <v/>
      </c>
      <c r="AE63" t="str">
        <f>'附件4 规划外'!L173</f>
        <v>竣工</v>
      </c>
      <c r="AF63">
        <f>'附件4 规划外'!M173</f>
        <v>44378</v>
      </c>
      <c r="AG63">
        <f>'附件4 规划外'!N173</f>
        <v>44440</v>
      </c>
      <c r="AH63" t="str">
        <f>'附件4 规划外'!O173</f>
        <v>市工业和信息化局</v>
      </c>
      <c r="AI63" t="str">
        <f>'附件4 规划外'!P173</f>
        <v>尉氏县</v>
      </c>
      <c r="AJ63">
        <f>'附件4 规划外'!Q173</f>
        <v>0</v>
      </c>
      <c r="AK63">
        <f>'附件4 规划外'!R173</f>
        <v>0</v>
      </c>
    </row>
    <row r="64" hidden="1" spans="1:37">
      <c r="A64">
        <f>'附件3 规划内'!A183</f>
        <v>182</v>
      </c>
      <c r="B64" t="str">
        <f>'附件3 规划内'!B183</f>
        <v>2019庄头镇于家村钢结构标准棚3座</v>
      </c>
      <c r="C64" t="str">
        <f>'附件3 规划内'!C183</f>
        <v>乡村振兴</v>
      </c>
      <c r="D64" t="str">
        <f>'附件3 规划内'!D183</f>
        <v>3座修复外表塑料膜</v>
      </c>
      <c r="E64">
        <f>'附件3 规划内'!E183</f>
        <v>5</v>
      </c>
      <c r="F64">
        <f>'附件3 规划内'!F183</f>
        <v>5</v>
      </c>
      <c r="G64">
        <f>'附件3 规划内'!G183</f>
        <v>0</v>
      </c>
      <c r="H64">
        <f>'附件3 规划内'!H183</f>
        <v>0</v>
      </c>
      <c r="I64" t="str">
        <f>'附件3 规划内'!I183</f>
        <v>完工</v>
      </c>
      <c r="J64">
        <f>'附件3 规划内'!J183</f>
        <v>5</v>
      </c>
      <c r="K64" t="str">
        <f>'附件3 规划内'!K183</f>
        <v/>
      </c>
      <c r="L64">
        <f>'附件3 规划内'!L183</f>
        <v>0</v>
      </c>
      <c r="M64" s="26">
        <f>'附件3 规划内'!M183</f>
        <v>44440</v>
      </c>
      <c r="N64" s="26">
        <f>'附件3 规划内'!N183</f>
        <v>44499</v>
      </c>
      <c r="O64" t="str">
        <f>'附件3 规划内'!O183</f>
        <v>市乡村振兴局</v>
      </c>
      <c r="P64" t="str">
        <f>'附件3 规划内'!P183</f>
        <v>尉氏县</v>
      </c>
      <c r="Q64">
        <f>'附件3 规划内'!Q183</f>
        <v>0</v>
      </c>
      <c r="R64">
        <f>'附件3 规划内'!R183</f>
        <v>0</v>
      </c>
      <c r="T64">
        <f>'附件4 规划外'!A174</f>
        <v>187</v>
      </c>
      <c r="U64" t="str">
        <f>'附件4 规划外'!B174</f>
        <v>开封市杏媛食品有限公司</v>
      </c>
      <c r="V64" t="str">
        <f>'附件4 规划外'!C174</f>
        <v>产业</v>
      </c>
      <c r="W64" t="str">
        <f>'附件4 规划外'!D174</f>
        <v>空压机.净化机.成型机</v>
      </c>
      <c r="X64">
        <f>'附件4 规划外'!E174</f>
        <v>1.7</v>
      </c>
      <c r="Y64">
        <f>'附件4 规划外'!F174</f>
        <v>1.7</v>
      </c>
      <c r="Z64">
        <f>'附件4 规划外'!G174</f>
        <v>0</v>
      </c>
      <c r="AA64">
        <f>'附件4 规划外'!H174</f>
        <v>0</v>
      </c>
      <c r="AB64" t="str">
        <f>'附件4 规划外'!I174</f>
        <v>完工</v>
      </c>
      <c r="AC64">
        <f>'附件4 规划外'!J174</f>
        <v>1.7</v>
      </c>
      <c r="AD64" t="str">
        <f>'附件4 规划外'!K174</f>
        <v/>
      </c>
      <c r="AE64" t="str">
        <f>'附件4 规划外'!L174</f>
        <v>竣工</v>
      </c>
      <c r="AF64">
        <f>'附件4 规划外'!M174</f>
        <v>44378</v>
      </c>
      <c r="AG64">
        <f>'附件4 规划外'!N174</f>
        <v>44440</v>
      </c>
      <c r="AH64" t="str">
        <f>'附件4 规划外'!O174</f>
        <v>市工业和信息化局</v>
      </c>
      <c r="AI64" t="str">
        <f>'附件4 规划外'!P174</f>
        <v>尉氏县</v>
      </c>
      <c r="AJ64">
        <f>'附件4 规划外'!Q174</f>
        <v>0</v>
      </c>
      <c r="AK64">
        <f>'附件4 规划外'!R174</f>
        <v>0</v>
      </c>
    </row>
    <row r="65" hidden="1" spans="1:37">
      <c r="A65">
        <f>'附件3 规划内'!A184</f>
        <v>183</v>
      </c>
      <c r="B65" t="str">
        <f>'附件3 规划内'!B184</f>
        <v>2020庄头镇于家村养殖棚2座</v>
      </c>
      <c r="C65" t="str">
        <f>'附件3 规划内'!C184</f>
        <v>乡村振兴</v>
      </c>
      <c r="D65" t="str">
        <f>'附件3 规划内'!D184</f>
        <v>2座修复地基</v>
      </c>
      <c r="E65">
        <f>'附件3 规划内'!E184</f>
        <v>2</v>
      </c>
      <c r="F65">
        <f>'附件3 规划内'!F184</f>
        <v>2</v>
      </c>
      <c r="G65">
        <f>'附件3 规划内'!G184</f>
        <v>0</v>
      </c>
      <c r="H65">
        <f>'附件3 规划内'!H184</f>
        <v>0</v>
      </c>
      <c r="I65" t="str">
        <f>'附件3 规划内'!I184</f>
        <v>完工</v>
      </c>
      <c r="J65">
        <f>'附件3 规划内'!J184</f>
        <v>2</v>
      </c>
      <c r="K65" t="str">
        <f>'附件3 规划内'!K184</f>
        <v/>
      </c>
      <c r="L65">
        <f>'附件3 规划内'!L184</f>
        <v>0</v>
      </c>
      <c r="M65" s="26">
        <f>'附件3 规划内'!M184</f>
        <v>44440</v>
      </c>
      <c r="N65" s="26">
        <f>'附件3 规划内'!N184</f>
        <v>44499</v>
      </c>
      <c r="O65" t="str">
        <f>'附件3 规划内'!O184</f>
        <v>市乡村振兴局</v>
      </c>
      <c r="P65" t="str">
        <f>'附件3 规划内'!P184</f>
        <v>尉氏县</v>
      </c>
      <c r="Q65">
        <f>'附件3 规划内'!Q184</f>
        <v>0</v>
      </c>
      <c r="R65">
        <f>'附件3 规划内'!R184</f>
        <v>0</v>
      </c>
      <c r="T65">
        <f>'附件4 规划外'!A175</f>
        <v>188</v>
      </c>
      <c r="U65" t="str">
        <f>'附件4 规划外'!B175</f>
        <v>河南省康记食品有限公司</v>
      </c>
      <c r="V65" t="str">
        <f>'附件4 规划外'!C175</f>
        <v>产业</v>
      </c>
      <c r="W65" t="str">
        <f>'附件4 规划外'!D175</f>
        <v>巧克力涂层机1台、冷却设备1台、滚筒电机变频器1套</v>
      </c>
      <c r="X65">
        <f>'附件4 规划外'!E175</f>
        <v>7</v>
      </c>
      <c r="Y65">
        <f>'附件4 规划外'!F175</f>
        <v>7</v>
      </c>
      <c r="Z65">
        <f>'附件4 规划外'!G175</f>
        <v>0</v>
      </c>
      <c r="AA65">
        <f>'附件4 规划外'!H175</f>
        <v>0</v>
      </c>
      <c r="AB65" t="str">
        <f>'附件4 规划外'!I175</f>
        <v>完工</v>
      </c>
      <c r="AC65">
        <f>'附件4 规划外'!J175</f>
        <v>7</v>
      </c>
      <c r="AD65" t="str">
        <f>'附件4 规划外'!K175</f>
        <v/>
      </c>
      <c r="AE65" t="str">
        <f>'附件4 规划外'!L175</f>
        <v>竣工</v>
      </c>
      <c r="AF65">
        <f>'附件4 规划外'!M175</f>
        <v>44378</v>
      </c>
      <c r="AG65">
        <f>'附件4 规划外'!N175</f>
        <v>44440</v>
      </c>
      <c r="AH65" t="str">
        <f>'附件4 规划外'!O175</f>
        <v>市工业和信息化局</v>
      </c>
      <c r="AI65" t="str">
        <f>'附件4 规划外'!P175</f>
        <v>尉氏县</v>
      </c>
      <c r="AJ65">
        <f>'附件4 规划外'!Q175</f>
        <v>0</v>
      </c>
      <c r="AK65">
        <f>'附件4 规划外'!R175</f>
        <v>0</v>
      </c>
    </row>
    <row r="66" hidden="1" spans="1:37">
      <c r="A66">
        <f>'附件3 规划内'!A185</f>
        <v>184</v>
      </c>
      <c r="B66" t="str">
        <f>'附件3 规划内'!B185</f>
        <v>2020庄头镇二家张村蔬菜温室棚</v>
      </c>
      <c r="C66" t="str">
        <f>'附件3 规划内'!C185</f>
        <v>乡村振兴</v>
      </c>
      <c r="D66" t="str">
        <f>'附件3 规划内'!D185</f>
        <v>1座修复外表塑料膜，10个电机水淹损坏，1个配电盘水淹损坏，需要换新</v>
      </c>
      <c r="E66">
        <f>'附件3 规划内'!E185</f>
        <v>6</v>
      </c>
      <c r="F66">
        <f>'附件3 规划内'!F185</f>
        <v>6</v>
      </c>
      <c r="G66">
        <f>'附件3 规划内'!G185</f>
        <v>0</v>
      </c>
      <c r="H66">
        <f>'附件3 规划内'!H185</f>
        <v>0</v>
      </c>
      <c r="I66" t="str">
        <f>'附件3 规划内'!I185</f>
        <v>完工</v>
      </c>
      <c r="J66">
        <f>'附件3 规划内'!J185</f>
        <v>6</v>
      </c>
      <c r="K66" t="str">
        <f>'附件3 规划内'!K185</f>
        <v/>
      </c>
      <c r="L66">
        <f>'附件3 规划内'!L185</f>
        <v>0</v>
      </c>
      <c r="M66" s="26">
        <f>'附件3 规划内'!M185</f>
        <v>44440</v>
      </c>
      <c r="N66" s="26">
        <f>'附件3 规划内'!N185</f>
        <v>44499</v>
      </c>
      <c r="O66" t="str">
        <f>'附件3 规划内'!O185</f>
        <v>市乡村振兴局</v>
      </c>
      <c r="P66" t="str">
        <f>'附件3 规划内'!P185</f>
        <v>尉氏县</v>
      </c>
      <c r="Q66">
        <f>'附件3 规划内'!Q185</f>
        <v>0</v>
      </c>
      <c r="R66">
        <f>'附件3 规划内'!R185</f>
        <v>0</v>
      </c>
      <c r="T66">
        <f>'附件4 规划外'!A176</f>
        <v>189</v>
      </c>
      <c r="U66" t="str">
        <f>'附件4 规划外'!B176</f>
        <v>河南笑辣辣食品有限公司</v>
      </c>
      <c r="V66" t="str">
        <f>'附件4 规划外'!C176</f>
        <v>产业</v>
      </c>
      <c r="W66" t="str">
        <f>'附件4 规划外'!D176</f>
        <v>55kw空压机变频器1台</v>
      </c>
      <c r="X66">
        <f>'附件4 规划外'!E176</f>
        <v>7.89</v>
      </c>
      <c r="Y66">
        <f>'附件4 规划外'!F176</f>
        <v>7.89</v>
      </c>
      <c r="Z66">
        <f>'附件4 规划外'!G176</f>
        <v>0</v>
      </c>
      <c r="AA66">
        <f>'附件4 规划外'!H176</f>
        <v>0</v>
      </c>
      <c r="AB66" t="str">
        <f>'附件4 规划外'!I176</f>
        <v>完工</v>
      </c>
      <c r="AC66">
        <f>'附件4 规划外'!J176</f>
        <v>7.89</v>
      </c>
      <c r="AD66" t="str">
        <f>'附件4 规划外'!K176</f>
        <v/>
      </c>
      <c r="AE66" t="str">
        <f>'附件4 规划外'!L176</f>
        <v>竣工</v>
      </c>
      <c r="AF66">
        <f>'附件4 规划外'!M176</f>
        <v>44378</v>
      </c>
      <c r="AG66">
        <f>'附件4 规划外'!N176</f>
        <v>44440</v>
      </c>
      <c r="AH66" t="str">
        <f>'附件4 规划外'!O176</f>
        <v>市工业和信息化局</v>
      </c>
      <c r="AI66" t="str">
        <f>'附件4 规划外'!P176</f>
        <v>尉氏县</v>
      </c>
      <c r="AJ66">
        <f>'附件4 规划外'!Q176</f>
        <v>0</v>
      </c>
      <c r="AK66">
        <f>'附件4 规划外'!R176</f>
        <v>0</v>
      </c>
    </row>
    <row r="67" hidden="1" spans="1:37">
      <c r="A67">
        <f>'附件3 规划内'!A186</f>
        <v>185</v>
      </c>
      <c r="B67" t="str">
        <f>'附件3 规划内'!B186</f>
        <v>尉氏县庄头镇王家村蔬菜、水果大棚建设产业扶贫项目</v>
      </c>
      <c r="C67" t="str">
        <f>'附件3 规划内'!C186</f>
        <v>乡村振兴</v>
      </c>
      <c r="D67" t="str">
        <f>'附件3 规划内'!D186</f>
        <v>建设蔬菜、水果产业大棚30座</v>
      </c>
      <c r="E67">
        <f>'附件3 规划内'!E186</f>
        <v>183.5</v>
      </c>
      <c r="F67">
        <f>'附件3 规划内'!F186</f>
        <v>2</v>
      </c>
      <c r="G67">
        <f>'附件3 规划内'!G186</f>
        <v>181.5</v>
      </c>
      <c r="H67">
        <f>'附件3 规划内'!H186</f>
        <v>0</v>
      </c>
      <c r="I67" t="str">
        <f>'附件3 规划内'!I186</f>
        <v>完工</v>
      </c>
      <c r="J67">
        <f>'附件3 规划内'!J186</f>
        <v>183.5</v>
      </c>
      <c r="K67">
        <f>'附件3 规划内'!K186</f>
        <v>181.5</v>
      </c>
      <c r="L67" t="str">
        <f>'附件3 规划内'!L186</f>
        <v>正在实施</v>
      </c>
      <c r="M67" s="26">
        <f>'附件3 规划内'!M186</f>
        <v>44440</v>
      </c>
      <c r="N67" s="26">
        <f>'附件3 规划内'!N186</f>
        <v>44742</v>
      </c>
      <c r="O67" t="str">
        <f>'附件3 规划内'!O186</f>
        <v>市乡村振兴局</v>
      </c>
      <c r="P67" t="str">
        <f>'附件3 规划内'!P186</f>
        <v>尉氏县</v>
      </c>
      <c r="Q67">
        <f>'附件3 规划内'!Q186</f>
        <v>0</v>
      </c>
      <c r="R67">
        <f>'附件3 规划内'!R186</f>
        <v>0</v>
      </c>
      <c r="T67">
        <f>'附件4 规划外'!A177</f>
        <v>190</v>
      </c>
      <c r="U67" t="str">
        <f>'附件4 规划外'!B177</f>
        <v>尉氏县天翼食品有限公司</v>
      </c>
      <c r="V67" t="str">
        <f>'附件4 规划外'!C177</f>
        <v>产业</v>
      </c>
      <c r="W67" t="str">
        <f>'附件4 规划外'!D177</f>
        <v>TNS-60KVA 稳压器一台;TYCP 160M1-8 B35电机一台；PSM160-37-3000 电机一台；5台150型封口机。</v>
      </c>
      <c r="X67">
        <f>'附件4 规划外'!E177</f>
        <v>4</v>
      </c>
      <c r="Y67">
        <f>'附件4 规划外'!F177</f>
        <v>4</v>
      </c>
      <c r="Z67">
        <f>'附件4 规划外'!G177</f>
        <v>0</v>
      </c>
      <c r="AA67">
        <f>'附件4 规划外'!H177</f>
        <v>0</v>
      </c>
      <c r="AB67" t="str">
        <f>'附件4 规划外'!I177</f>
        <v>完工</v>
      </c>
      <c r="AC67">
        <f>'附件4 规划外'!J177</f>
        <v>4</v>
      </c>
      <c r="AD67" t="str">
        <f>'附件4 规划外'!K177</f>
        <v/>
      </c>
      <c r="AE67" t="str">
        <f>'附件4 规划外'!L177</f>
        <v>竣工</v>
      </c>
      <c r="AF67" s="26">
        <f>'附件4 规划外'!M177</f>
        <v>44378</v>
      </c>
      <c r="AG67" s="26">
        <f>'附件4 规划外'!N177</f>
        <v>44440</v>
      </c>
      <c r="AH67" t="str">
        <f>'附件4 规划外'!O177</f>
        <v>市工业和信息化局</v>
      </c>
      <c r="AI67" t="str">
        <f>'附件4 规划外'!P177</f>
        <v>尉氏县</v>
      </c>
      <c r="AJ67">
        <f>'附件4 规划外'!Q177</f>
        <v>0</v>
      </c>
      <c r="AK67">
        <f>'附件4 规划外'!R177</f>
        <v>0</v>
      </c>
    </row>
    <row r="68" hidden="1" spans="1:37">
      <c r="A68">
        <f>'附件3 规划内'!A187</f>
        <v>186</v>
      </c>
      <c r="B68" t="str">
        <f>'附件3 规划内'!B187</f>
        <v>尉氏县洧川镇湾李村建设食用菌大棚应急能力提升产业项目</v>
      </c>
      <c r="C68" t="str">
        <f>'附件3 规划内'!C187</f>
        <v>乡村振兴</v>
      </c>
      <c r="D68" t="str">
        <f>'附件3 规划内'!D187</f>
        <v>建七座出菇大棚，每座大棚造价30.84万元。每座大棚设计长度30米，宽度10米，高度4.5米。</v>
      </c>
      <c r="E68">
        <f>'附件3 规划内'!E187</f>
        <v>229.021</v>
      </c>
      <c r="F68">
        <f>'附件3 规划内'!F187</f>
        <v>20</v>
      </c>
      <c r="G68">
        <f>'附件3 规划内'!G187</f>
        <v>209.021</v>
      </c>
      <c r="H68">
        <f>'附件3 规划内'!H187</f>
        <v>0</v>
      </c>
      <c r="I68" t="str">
        <f>'附件3 规划内'!I187</f>
        <v>完工</v>
      </c>
      <c r="J68">
        <f>'附件3 规划内'!J187</f>
        <v>229.021</v>
      </c>
      <c r="K68">
        <f>'附件3 规划内'!K187</f>
        <v>209.021</v>
      </c>
      <c r="L68" t="str">
        <f>'附件3 规划内'!L187</f>
        <v>正在实施</v>
      </c>
      <c r="M68" s="26">
        <f>'附件3 规划内'!M187</f>
        <v>44440</v>
      </c>
      <c r="N68" s="26">
        <f>'附件3 规划内'!N187</f>
        <v>44742</v>
      </c>
      <c r="O68" t="str">
        <f>'附件3 规划内'!O187</f>
        <v>市乡村振兴局</v>
      </c>
      <c r="P68" t="str">
        <f>'附件3 规划内'!P187</f>
        <v>尉氏县</v>
      </c>
      <c r="Q68">
        <f>'附件3 规划内'!Q187</f>
        <v>0</v>
      </c>
      <c r="R68">
        <f>'附件3 规划内'!R187</f>
        <v>0</v>
      </c>
      <c r="T68">
        <f>'附件4 规划外'!A178</f>
        <v>191</v>
      </c>
      <c r="U68" t="str">
        <f>'附件4 规划外'!B178</f>
        <v>河南省军胜强食品有限公司</v>
      </c>
      <c r="V68" t="str">
        <f>'附件4 规划外'!C178</f>
        <v>产业</v>
      </c>
      <c r="W68" t="str">
        <f>'附件4 规划外'!D178</f>
        <v>4台燃烧机、1台分选机、1台空压机、1台提升机、4台煮锅</v>
      </c>
      <c r="X68">
        <f>'附件4 规划外'!E178</f>
        <v>0</v>
      </c>
      <c r="Y68">
        <f>'附件4 规划外'!F178</f>
        <v>0</v>
      </c>
      <c r="Z68">
        <f>'附件4 规划外'!G178</f>
        <v>0</v>
      </c>
      <c r="AA68">
        <f>'附件4 规划外'!H178</f>
        <v>0</v>
      </c>
      <c r="AB68" t="str">
        <f>'附件4 规划外'!I178</f>
        <v>完工</v>
      </c>
      <c r="AC68">
        <f>'附件4 规划外'!J178</f>
        <v>0</v>
      </c>
      <c r="AD68" t="str">
        <f>'附件4 规划外'!K178</f>
        <v/>
      </c>
      <c r="AE68" t="str">
        <f>'附件4 规划外'!L178</f>
        <v>竣工</v>
      </c>
      <c r="AF68" s="26">
        <f>'附件4 规划外'!M178</f>
        <v>44378</v>
      </c>
      <c r="AG68" s="26">
        <f>'附件4 规划外'!N178</f>
        <v>44440</v>
      </c>
      <c r="AH68" t="str">
        <f>'附件4 规划外'!O178</f>
        <v>市工业和信息化局</v>
      </c>
      <c r="AI68" t="str">
        <f>'附件4 规划外'!P178</f>
        <v>尉氏县</v>
      </c>
      <c r="AJ68">
        <f>'附件4 规划外'!Q178</f>
        <v>0</v>
      </c>
      <c r="AK68">
        <f>'附件4 规划外'!R178</f>
        <v>0</v>
      </c>
    </row>
    <row r="69" hidden="1" spans="1:37">
      <c r="A69">
        <f>'附件3 规划内'!A188</f>
        <v>187</v>
      </c>
      <c r="B69" t="str">
        <f>'附件3 规划内'!B188</f>
        <v>2019庄头镇庄头村扶贫车间</v>
      </c>
      <c r="C69" t="str">
        <f>'附件3 规划内'!C188</f>
        <v>乡村振兴</v>
      </c>
      <c r="D69" t="str">
        <f>'附件3 规划内'!D188</f>
        <v>庄头村扶贫车间需要修复围墙裂缝长12米，高2米，地坪塌陷10平方；水泡电动缝纫机5台、大型发电机组一台。</v>
      </c>
      <c r="E69">
        <f>'附件3 规划内'!E188</f>
        <v>5</v>
      </c>
      <c r="F69">
        <f>'附件3 规划内'!F188</f>
        <v>5</v>
      </c>
      <c r="G69">
        <f>'附件3 规划内'!G188</f>
        <v>0</v>
      </c>
      <c r="H69">
        <f>'附件3 规划内'!H188</f>
        <v>0</v>
      </c>
      <c r="I69" t="str">
        <f>'附件3 规划内'!I188</f>
        <v>完工</v>
      </c>
      <c r="J69">
        <f>'附件3 规划内'!J188</f>
        <v>5</v>
      </c>
      <c r="K69" t="str">
        <f>'附件3 规划内'!K188</f>
        <v/>
      </c>
      <c r="L69">
        <f>'附件3 规划内'!L188</f>
        <v>0</v>
      </c>
      <c r="M69" s="26">
        <f>'附件3 规划内'!M188</f>
        <v>44440</v>
      </c>
      <c r="N69" s="26">
        <f>'附件3 规划内'!N188</f>
        <v>44499</v>
      </c>
      <c r="O69" t="str">
        <f>'附件3 规划内'!O188</f>
        <v>市乡村振兴局</v>
      </c>
      <c r="P69" t="str">
        <f>'附件3 规划内'!P188</f>
        <v>尉氏县</v>
      </c>
      <c r="Q69">
        <f>'附件3 规划内'!Q188</f>
        <v>0</v>
      </c>
      <c r="R69">
        <f>'附件3 规划内'!R188</f>
        <v>0</v>
      </c>
      <c r="T69">
        <f>'附件4 规划外'!A179</f>
        <v>192</v>
      </c>
      <c r="U69" t="str">
        <f>'附件4 规划外'!B179</f>
        <v>河南省豪一食品有限公司</v>
      </c>
      <c r="V69" t="str">
        <f>'附件4 规划外'!C179</f>
        <v>产业</v>
      </c>
      <c r="W69" t="str">
        <f>'附件4 规划外'!D179</f>
        <v>XY-25,搅拌机1台；400KV，配电柜1套；HD-800,过滤机1台；HS-850油炸机1台；JLMK胶体磨1台；JY-JD,净化器1台；5.5KW,风机1台；RF28WW/S-810L,空调3台；</v>
      </c>
      <c r="X69">
        <f>'附件4 规划外'!E179</f>
        <v>6</v>
      </c>
      <c r="Y69">
        <f>'附件4 规划外'!F179</f>
        <v>6</v>
      </c>
      <c r="Z69">
        <f>'附件4 规划外'!G179</f>
        <v>0</v>
      </c>
      <c r="AA69">
        <f>'附件4 规划外'!H179</f>
        <v>0</v>
      </c>
      <c r="AB69" t="str">
        <f>'附件4 规划外'!I179</f>
        <v>完工</v>
      </c>
      <c r="AC69">
        <f>'附件4 规划外'!J179</f>
        <v>6</v>
      </c>
      <c r="AD69" t="str">
        <f>'附件4 规划外'!K179</f>
        <v/>
      </c>
      <c r="AE69" t="str">
        <f>'附件4 规划外'!L179</f>
        <v>竣工</v>
      </c>
      <c r="AF69" s="26">
        <f>'附件4 规划外'!M179</f>
        <v>44378</v>
      </c>
      <c r="AG69" s="26">
        <f>'附件4 规划外'!N179</f>
        <v>44440</v>
      </c>
      <c r="AH69" t="str">
        <f>'附件4 规划外'!O179</f>
        <v>市工业和信息化局</v>
      </c>
      <c r="AI69" t="str">
        <f>'附件4 规划外'!P179</f>
        <v>尉氏县</v>
      </c>
      <c r="AJ69">
        <f>'附件4 规划外'!Q179</f>
        <v>0</v>
      </c>
      <c r="AK69">
        <f>'附件4 规划外'!R179</f>
        <v>0</v>
      </c>
    </row>
    <row r="70" hidden="1" spans="1:37">
      <c r="A70">
        <f>'附件3 规划内'!A189</f>
        <v>188</v>
      </c>
      <c r="B70" t="str">
        <f>'附件3 规划内'!B189</f>
        <v>邢庄乡大庙杨村2020年新建食用菌种植大棚产业扶贫项目</v>
      </c>
      <c r="C70" t="str">
        <f>'附件3 规划内'!C189</f>
        <v>乡村振兴</v>
      </c>
      <c r="D70" t="str">
        <f>'附件3 规划内'!D189</f>
        <v>需要修复41个大棚（26000平方）及配套水电；</v>
      </c>
      <c r="E70">
        <f>'附件3 规划内'!E189</f>
        <v>59</v>
      </c>
      <c r="F70">
        <f>'附件3 规划内'!F189</f>
        <v>59</v>
      </c>
      <c r="G70">
        <f>'附件3 规划内'!G189</f>
        <v>0</v>
      </c>
      <c r="H70">
        <f>'附件3 规划内'!H189</f>
        <v>0</v>
      </c>
      <c r="I70" t="str">
        <f>'附件3 规划内'!I189</f>
        <v>完工</v>
      </c>
      <c r="J70">
        <f>'附件3 规划内'!J189</f>
        <v>59</v>
      </c>
      <c r="K70" t="str">
        <f>'附件3 规划内'!K189</f>
        <v/>
      </c>
      <c r="L70">
        <f>'附件3 规划内'!L189</f>
        <v>0</v>
      </c>
      <c r="M70" s="26">
        <f>'附件3 规划内'!M189</f>
        <v>44440</v>
      </c>
      <c r="N70" s="26">
        <f>'附件3 规划内'!N189</f>
        <v>44499</v>
      </c>
      <c r="O70" t="str">
        <f>'附件3 规划内'!O189</f>
        <v>市乡村振兴局</v>
      </c>
      <c r="P70" t="str">
        <f>'附件3 规划内'!P189</f>
        <v>尉氏县</v>
      </c>
      <c r="Q70">
        <f>'附件3 规划内'!Q189</f>
        <v>0</v>
      </c>
      <c r="R70">
        <f>'附件3 规划内'!R189</f>
        <v>0</v>
      </c>
      <c r="T70">
        <f>'附件4 规划外'!A180</f>
        <v>193</v>
      </c>
      <c r="U70" t="str">
        <f>'附件4 规划外'!B180</f>
        <v>河南省带财食品有限公司</v>
      </c>
      <c r="V70" t="str">
        <f>'附件4 规划外'!C180</f>
        <v>产业</v>
      </c>
      <c r="W70" t="str">
        <f>'附件4 规划外'!D180</f>
        <v>6台燃烧机</v>
      </c>
      <c r="X70">
        <f>'附件4 规划外'!E180</f>
        <v>66</v>
      </c>
      <c r="Y70">
        <f>'附件4 规划外'!F180</f>
        <v>66</v>
      </c>
      <c r="Z70">
        <f>'附件4 规划外'!G180</f>
        <v>0</v>
      </c>
      <c r="AA70">
        <f>'附件4 规划外'!H180</f>
        <v>0</v>
      </c>
      <c r="AB70" t="str">
        <f>'附件4 规划外'!I180</f>
        <v>完工</v>
      </c>
      <c r="AC70">
        <f>'附件4 规划外'!J180</f>
        <v>66</v>
      </c>
      <c r="AD70" t="str">
        <f>'附件4 规划外'!K180</f>
        <v/>
      </c>
      <c r="AE70" t="str">
        <f>'附件4 规划外'!L180</f>
        <v>竣工</v>
      </c>
      <c r="AF70" s="26">
        <f>'附件4 规划外'!M180</f>
        <v>44378</v>
      </c>
      <c r="AG70" s="26">
        <f>'附件4 规划外'!N180</f>
        <v>44440</v>
      </c>
      <c r="AH70" t="str">
        <f>'附件4 规划外'!O180</f>
        <v>市工业和信息化局</v>
      </c>
      <c r="AI70" t="str">
        <f>'附件4 规划外'!P180</f>
        <v>尉氏县</v>
      </c>
      <c r="AJ70">
        <f>'附件4 规划外'!Q180</f>
        <v>0</v>
      </c>
      <c r="AK70">
        <f>'附件4 规划外'!R180</f>
        <v>0</v>
      </c>
    </row>
    <row r="71" hidden="1" spans="1:37">
      <c r="A71">
        <f>'附件3 规划内'!A190</f>
        <v>189</v>
      </c>
      <c r="B71" t="str">
        <f>'附件3 规划内'!B190</f>
        <v>2017年度邢庄乡大庙杨村产业扶贫发展项目（扶贫车间）</v>
      </c>
      <c r="C71" t="str">
        <f>'附件3 规划内'!C190</f>
        <v>乡村振兴</v>
      </c>
      <c r="D71" t="str">
        <f>'附件3 规划内'!D190</f>
        <v>修复墙体，墙裙25米，修复地坪70平方</v>
      </c>
      <c r="E71">
        <f>'附件3 规划内'!E190</f>
        <v>2</v>
      </c>
      <c r="F71">
        <f>'附件3 规划内'!F190</f>
        <v>2</v>
      </c>
      <c r="G71">
        <f>'附件3 规划内'!G190</f>
        <v>0</v>
      </c>
      <c r="H71">
        <f>'附件3 规划内'!H190</f>
        <v>0</v>
      </c>
      <c r="I71" t="str">
        <f>'附件3 规划内'!I190</f>
        <v>完工</v>
      </c>
      <c r="J71">
        <f>'附件3 规划内'!J190</f>
        <v>2</v>
      </c>
      <c r="K71" t="str">
        <f>'附件3 规划内'!K190</f>
        <v/>
      </c>
      <c r="L71">
        <f>'附件3 规划内'!L190</f>
        <v>0</v>
      </c>
      <c r="M71" s="26">
        <f>'附件3 规划内'!M190</f>
        <v>44440</v>
      </c>
      <c r="N71" s="26">
        <f>'附件3 规划内'!N190</f>
        <v>44499</v>
      </c>
      <c r="O71" t="str">
        <f>'附件3 规划内'!O190</f>
        <v>市乡村振兴局</v>
      </c>
      <c r="P71" t="str">
        <f>'附件3 规划内'!P190</f>
        <v>尉氏县</v>
      </c>
      <c r="Q71">
        <f>'附件3 规划内'!Q190</f>
        <v>0</v>
      </c>
      <c r="R71">
        <f>'附件3 规划内'!R190</f>
        <v>0</v>
      </c>
      <c r="T71">
        <f>'附件4 规划外'!A181</f>
        <v>194</v>
      </c>
      <c r="U71" t="str">
        <f>'附件4 规划外'!B181</f>
        <v>河南省万强食品有限公司</v>
      </c>
      <c r="V71" t="str">
        <f>'附件4 规划外'!C181</f>
        <v>产业</v>
      </c>
      <c r="W71" t="str">
        <f>'附件4 规划外'!D181</f>
        <v>1台包装机</v>
      </c>
      <c r="X71">
        <f>'附件4 规划外'!E181</f>
        <v>35</v>
      </c>
      <c r="Y71">
        <f>'附件4 规划外'!F181</f>
        <v>35</v>
      </c>
      <c r="Z71">
        <f>'附件4 规划外'!G181</f>
        <v>0</v>
      </c>
      <c r="AA71">
        <f>'附件4 规划外'!H181</f>
        <v>0</v>
      </c>
      <c r="AB71" t="str">
        <f>'附件4 规划外'!I181</f>
        <v>完工</v>
      </c>
      <c r="AC71">
        <f>'附件4 规划外'!J181</f>
        <v>35</v>
      </c>
      <c r="AD71" t="str">
        <f>'附件4 规划外'!K181</f>
        <v/>
      </c>
      <c r="AE71" t="str">
        <f>'附件4 规划外'!L181</f>
        <v>竣工</v>
      </c>
      <c r="AF71" s="26">
        <f>'附件4 规划外'!M181</f>
        <v>44378</v>
      </c>
      <c r="AG71" s="26">
        <f>'附件4 规划外'!N181</f>
        <v>44440</v>
      </c>
      <c r="AH71" t="str">
        <f>'附件4 规划外'!O181</f>
        <v>市工业和信息化局</v>
      </c>
      <c r="AI71" t="str">
        <f>'附件4 规划外'!P181</f>
        <v>尉氏县</v>
      </c>
      <c r="AJ71">
        <f>'附件4 规划外'!Q181</f>
        <v>0</v>
      </c>
      <c r="AK71">
        <f>'附件4 规划外'!R181</f>
        <v>0</v>
      </c>
    </row>
    <row r="72" hidden="1" spans="1:37">
      <c r="A72">
        <f>'附件3 规划内'!A191</f>
        <v>190</v>
      </c>
      <c r="B72" t="str">
        <f>'附件3 规划内'!B191</f>
        <v>2018年度尉氏县大马乡马古岗村扶贫车间建设项目</v>
      </c>
      <c r="C72" t="str">
        <f>'附件3 规划内'!C191</f>
        <v>乡村振兴</v>
      </c>
      <c r="D72" t="str">
        <f>'附件3 规划内'!D191</f>
        <v>屋顶防水220平方米，西房屋翻修、西墙群加固。</v>
      </c>
      <c r="E72">
        <f>'附件3 规划内'!E191</f>
        <v>5</v>
      </c>
      <c r="F72">
        <f>'附件3 规划内'!F191</f>
        <v>5</v>
      </c>
      <c r="G72">
        <f>'附件3 规划内'!G191</f>
        <v>0</v>
      </c>
      <c r="H72">
        <f>'附件3 规划内'!H191</f>
        <v>0</v>
      </c>
      <c r="I72" t="str">
        <f>'附件3 规划内'!I191</f>
        <v>完工</v>
      </c>
      <c r="J72">
        <f>'附件3 规划内'!J191</f>
        <v>5</v>
      </c>
      <c r="K72" t="str">
        <f>'附件3 规划内'!K191</f>
        <v/>
      </c>
      <c r="L72">
        <f>'附件3 规划内'!L191</f>
        <v>0</v>
      </c>
      <c r="M72" s="26">
        <f>'附件3 规划内'!M191</f>
        <v>44440</v>
      </c>
      <c r="N72" s="26">
        <f>'附件3 规划内'!N191</f>
        <v>44499</v>
      </c>
      <c r="O72" t="str">
        <f>'附件3 规划内'!O191</f>
        <v>市乡村振兴局</v>
      </c>
      <c r="P72" t="str">
        <f>'附件3 规划内'!P191</f>
        <v>尉氏县</v>
      </c>
      <c r="Q72">
        <f>'附件3 规划内'!Q191</f>
        <v>0</v>
      </c>
      <c r="R72">
        <f>'附件3 规划内'!R191</f>
        <v>0</v>
      </c>
      <c r="T72">
        <f>'附件4 规划外'!A182</f>
        <v>195</v>
      </c>
      <c r="U72" t="str">
        <f>'附件4 规划外'!B182</f>
        <v>河南省华昌食品有限公司</v>
      </c>
      <c r="V72" t="str">
        <f>'附件4 规划外'!C182</f>
        <v>产业</v>
      </c>
      <c r="W72" t="str">
        <f>'附件4 规划外'!D182</f>
        <v>4台Z型提升机、3台燃烧机</v>
      </c>
      <c r="X72">
        <f>'附件4 规划外'!E182</f>
        <v>72</v>
      </c>
      <c r="Y72">
        <f>'附件4 规划外'!F182</f>
        <v>72</v>
      </c>
      <c r="Z72">
        <f>'附件4 规划外'!G182</f>
        <v>0</v>
      </c>
      <c r="AA72">
        <f>'附件4 规划外'!H182</f>
        <v>0</v>
      </c>
      <c r="AB72" t="str">
        <f>'附件4 规划外'!I182</f>
        <v>完工</v>
      </c>
      <c r="AC72">
        <f>'附件4 规划外'!J182</f>
        <v>72</v>
      </c>
      <c r="AD72" t="str">
        <f>'附件4 规划外'!K182</f>
        <v/>
      </c>
      <c r="AE72" t="str">
        <f>'附件4 规划外'!L182</f>
        <v>竣工</v>
      </c>
      <c r="AF72" s="26">
        <f>'附件4 规划外'!M182</f>
        <v>44378</v>
      </c>
      <c r="AG72" s="26">
        <f>'附件4 规划外'!N182</f>
        <v>44440</v>
      </c>
      <c r="AH72" t="str">
        <f>'附件4 规划外'!O182</f>
        <v>市工业和信息化局</v>
      </c>
      <c r="AI72" t="str">
        <f>'附件4 规划外'!P182</f>
        <v>尉氏县</v>
      </c>
      <c r="AJ72">
        <f>'附件4 规划外'!Q182</f>
        <v>0</v>
      </c>
      <c r="AK72">
        <f>'附件4 规划外'!R182</f>
        <v>0</v>
      </c>
    </row>
    <row r="73" hidden="1" spans="1:37">
      <c r="A73">
        <f>'附件3 规划内'!A192</f>
        <v>191</v>
      </c>
      <c r="B73" t="str">
        <f>'附件3 规划内'!B192</f>
        <v>2017年度大马乡胡陈村乡村道路建设项目</v>
      </c>
      <c r="C73" t="str">
        <f>'附件3 规划内'!C192</f>
        <v>乡村振兴</v>
      </c>
      <c r="D73" t="str">
        <f>'附件3 规划内'!D192</f>
        <v>路面修复，桥涵翻建</v>
      </c>
      <c r="E73">
        <f>'附件3 规划内'!E192</f>
        <v>10.1</v>
      </c>
      <c r="F73">
        <f>'附件3 规划内'!F192</f>
        <v>10.1</v>
      </c>
      <c r="G73">
        <f>'附件3 规划内'!G192</f>
        <v>0</v>
      </c>
      <c r="H73">
        <f>'附件3 规划内'!H192</f>
        <v>0</v>
      </c>
      <c r="I73" t="str">
        <f>'附件3 规划内'!I192</f>
        <v>完工</v>
      </c>
      <c r="J73">
        <f>'附件3 规划内'!J192</f>
        <v>10.1</v>
      </c>
      <c r="K73" t="str">
        <f>'附件3 规划内'!K192</f>
        <v/>
      </c>
      <c r="L73">
        <f>'附件3 规划内'!L192</f>
        <v>0</v>
      </c>
      <c r="M73" s="26">
        <f>'附件3 规划内'!M192</f>
        <v>44440</v>
      </c>
      <c r="N73" s="26">
        <f>'附件3 规划内'!N192</f>
        <v>44499</v>
      </c>
      <c r="O73" t="str">
        <f>'附件3 规划内'!O192</f>
        <v>市乡村振兴局</v>
      </c>
      <c r="P73" t="str">
        <f>'附件3 规划内'!P192</f>
        <v>尉氏县</v>
      </c>
      <c r="Q73">
        <f>'附件3 规划内'!Q192</f>
        <v>0</v>
      </c>
      <c r="R73">
        <f>'附件3 规划内'!R192</f>
        <v>0</v>
      </c>
      <c r="T73">
        <f>'附件4 规划外'!A183</f>
        <v>196</v>
      </c>
      <c r="U73" t="str">
        <f>'附件4 规划外'!B183</f>
        <v>河南省幸隆食品有限公司</v>
      </c>
      <c r="V73" t="str">
        <f>'附件4 规划外'!C183</f>
        <v>产业</v>
      </c>
      <c r="W73" t="str">
        <f>'附件4 规划外'!D183</f>
        <v>一台空压机变频器，三台电机</v>
      </c>
      <c r="X73">
        <f>'附件4 规划外'!E183</f>
        <v>33</v>
      </c>
      <c r="Y73">
        <f>'附件4 规划外'!F183</f>
        <v>33</v>
      </c>
      <c r="Z73">
        <f>'附件4 规划外'!G183</f>
        <v>0</v>
      </c>
      <c r="AA73">
        <f>'附件4 规划外'!H183</f>
        <v>0</v>
      </c>
      <c r="AB73" t="str">
        <f>'附件4 规划外'!I183</f>
        <v>完工</v>
      </c>
      <c r="AC73">
        <f>'附件4 规划外'!J183</f>
        <v>33</v>
      </c>
      <c r="AD73" t="str">
        <f>'附件4 规划外'!K183</f>
        <v/>
      </c>
      <c r="AE73" t="str">
        <f>'附件4 规划外'!L183</f>
        <v>竣工</v>
      </c>
      <c r="AF73" s="26">
        <f>'附件4 规划外'!M183</f>
        <v>44378</v>
      </c>
      <c r="AG73" s="26">
        <f>'附件4 规划外'!N183</f>
        <v>44440</v>
      </c>
      <c r="AH73" t="str">
        <f>'附件4 规划外'!O183</f>
        <v>市工业和信息化局</v>
      </c>
      <c r="AI73" t="str">
        <f>'附件4 规划外'!P183</f>
        <v>尉氏县</v>
      </c>
      <c r="AJ73">
        <f>'附件4 规划外'!Q183</f>
        <v>0</v>
      </c>
      <c r="AK73">
        <f>'附件4 规划外'!R183</f>
        <v>0</v>
      </c>
    </row>
    <row r="74" hidden="1" spans="1:37">
      <c r="A74">
        <f>'附件3 规划内'!A193</f>
        <v>192</v>
      </c>
      <c r="B74" t="str">
        <f>'附件3 规划内'!B193</f>
        <v>2018年度尉氏县大马乡胡陈村扶贫车间建设项目</v>
      </c>
      <c r="C74" t="str">
        <f>'附件3 规划内'!C193</f>
        <v>乡村振兴</v>
      </c>
      <c r="D74" t="str">
        <f>'附件3 规划内'!D193</f>
        <v>车间内地坪修复10公分厚 C25水泥砼1300平方米</v>
      </c>
      <c r="E74">
        <f>'附件3 规划内'!E193</f>
        <v>24.7</v>
      </c>
      <c r="F74">
        <f>'附件3 规划内'!F193</f>
        <v>24.7</v>
      </c>
      <c r="G74">
        <f>'附件3 规划内'!G193</f>
        <v>0</v>
      </c>
      <c r="H74">
        <f>'附件3 规划内'!H193</f>
        <v>0</v>
      </c>
      <c r="I74" t="str">
        <f>'附件3 规划内'!I193</f>
        <v>完工</v>
      </c>
      <c r="J74">
        <f>'附件3 规划内'!J193</f>
        <v>24.7</v>
      </c>
      <c r="K74" t="str">
        <f>'附件3 规划内'!K193</f>
        <v/>
      </c>
      <c r="L74">
        <f>'附件3 规划内'!L193</f>
        <v>0</v>
      </c>
      <c r="M74" s="26">
        <f>'附件3 规划内'!M193</f>
        <v>44440</v>
      </c>
      <c r="N74" s="26">
        <f>'附件3 规划内'!N193</f>
        <v>44499</v>
      </c>
      <c r="O74" t="str">
        <f>'附件3 规划内'!O193</f>
        <v>市乡村振兴局</v>
      </c>
      <c r="P74" t="str">
        <f>'附件3 规划内'!P193</f>
        <v>尉氏县</v>
      </c>
      <c r="Q74">
        <f>'附件3 规划内'!Q193</f>
        <v>0</v>
      </c>
      <c r="R74">
        <f>'附件3 规划内'!R193</f>
        <v>0</v>
      </c>
      <c r="T74">
        <f>'附件4 规划外'!A184</f>
        <v>197</v>
      </c>
      <c r="U74" t="str">
        <f>'附件4 规划外'!B184</f>
        <v>河南省神通食品有限公司</v>
      </c>
      <c r="V74" t="str">
        <f>'附件4 规划外'!C184</f>
        <v>产业</v>
      </c>
      <c r="W74" t="str">
        <f>'附件4 规划外'!D184</f>
        <v>4台煮锅、6台燃烧机、2台提升机、2台筛选机</v>
      </c>
      <c r="X74">
        <f>'附件4 规划外'!E184</f>
        <v>36</v>
      </c>
      <c r="Y74">
        <f>'附件4 规划外'!F184</f>
        <v>36</v>
      </c>
      <c r="Z74">
        <f>'附件4 规划外'!G184</f>
        <v>0</v>
      </c>
      <c r="AA74">
        <f>'附件4 规划外'!H184</f>
        <v>0</v>
      </c>
      <c r="AB74" t="str">
        <f>'附件4 规划外'!I184</f>
        <v>完工</v>
      </c>
      <c r="AC74">
        <f>'附件4 规划外'!J184</f>
        <v>36</v>
      </c>
      <c r="AD74" t="str">
        <f>'附件4 规划外'!K184</f>
        <v/>
      </c>
      <c r="AE74" t="str">
        <f>'附件4 规划外'!L184</f>
        <v>竣工</v>
      </c>
      <c r="AF74" s="26">
        <f>'附件4 规划外'!M184</f>
        <v>44378</v>
      </c>
      <c r="AG74" s="26">
        <f>'附件4 规划外'!N184</f>
        <v>44440</v>
      </c>
      <c r="AH74" t="str">
        <f>'附件4 规划外'!O184</f>
        <v>市工业和信息化局</v>
      </c>
      <c r="AI74" t="str">
        <f>'附件4 规划外'!P184</f>
        <v>尉氏县</v>
      </c>
      <c r="AJ74">
        <f>'附件4 规划外'!Q184</f>
        <v>0</v>
      </c>
      <c r="AK74">
        <f>'附件4 规划外'!R184</f>
        <v>0</v>
      </c>
    </row>
    <row r="75" hidden="1" spans="1:37">
      <c r="A75">
        <f>'附件3 规划内'!A194</f>
        <v>193</v>
      </c>
      <c r="B75" t="str">
        <f>'附件3 规划内'!B194</f>
        <v>尉氏县大马乡八里庙村自动化分拣及高标准电商平台产业扶贫项目</v>
      </c>
      <c r="C75" t="str">
        <f>'附件3 规划内'!C194</f>
        <v>乡村振兴</v>
      </c>
      <c r="D75" t="str">
        <f>'附件3 规划内'!D194</f>
        <v>修缮车间围墙110平方米，屋顶防水160平方米，室内吊顶1850平方，线路维修10平方电线，</v>
      </c>
      <c r="E75">
        <f>'附件3 规划内'!E194</f>
        <v>24.15</v>
      </c>
      <c r="F75">
        <f>'附件3 规划内'!F194</f>
        <v>24.15</v>
      </c>
      <c r="G75">
        <f>'附件3 规划内'!G194</f>
        <v>0</v>
      </c>
      <c r="H75">
        <f>'附件3 规划内'!H194</f>
        <v>0</v>
      </c>
      <c r="I75" t="str">
        <f>'附件3 规划内'!I194</f>
        <v>完工</v>
      </c>
      <c r="J75">
        <f>'附件3 规划内'!J194</f>
        <v>24.15</v>
      </c>
      <c r="K75" t="str">
        <f>'附件3 规划内'!K194</f>
        <v/>
      </c>
      <c r="L75">
        <f>'附件3 规划内'!L194</f>
        <v>0</v>
      </c>
      <c r="M75" s="26">
        <f>'附件3 规划内'!M194</f>
        <v>44440</v>
      </c>
      <c r="N75" s="26">
        <f>'附件3 规划内'!N194</f>
        <v>44499</v>
      </c>
      <c r="O75" t="str">
        <f>'附件3 规划内'!O194</f>
        <v>市乡村振兴局</v>
      </c>
      <c r="P75" t="str">
        <f>'附件3 规划内'!P194</f>
        <v>尉氏县</v>
      </c>
      <c r="Q75">
        <f>'附件3 规划内'!Q194</f>
        <v>0</v>
      </c>
      <c r="R75">
        <f>'附件3 规划内'!R194</f>
        <v>0</v>
      </c>
      <c r="T75">
        <f>'附件4 规划外'!A185</f>
        <v>198</v>
      </c>
      <c r="U75" t="str">
        <f>'附件4 规划外'!B185</f>
        <v>河南省海丰食品有限公司</v>
      </c>
      <c r="V75" t="str">
        <f>'附件4 规划外'!C185</f>
        <v>产业</v>
      </c>
      <c r="W75" t="str">
        <f>'附件4 规划外'!D185</f>
        <v>3台自动包装机、2台分级筛选机、7台燃烧机</v>
      </c>
      <c r="X75">
        <f>'附件4 规划外'!E185</f>
        <v>44</v>
      </c>
      <c r="Y75">
        <f>'附件4 规划外'!F185</f>
        <v>44</v>
      </c>
      <c r="Z75">
        <f>'附件4 规划外'!G185</f>
        <v>0</v>
      </c>
      <c r="AA75">
        <f>'附件4 规划外'!H185</f>
        <v>0</v>
      </c>
      <c r="AB75" t="str">
        <f>'附件4 规划外'!I185</f>
        <v>完工</v>
      </c>
      <c r="AC75">
        <f>'附件4 规划外'!J185</f>
        <v>44</v>
      </c>
      <c r="AD75" t="str">
        <f>'附件4 规划外'!K185</f>
        <v/>
      </c>
      <c r="AE75" t="str">
        <f>'附件4 规划外'!L185</f>
        <v>竣工</v>
      </c>
      <c r="AF75" s="26">
        <f>'附件4 规划外'!M185</f>
        <v>44378</v>
      </c>
      <c r="AG75" s="26">
        <f>'附件4 规划外'!N185</f>
        <v>44440</v>
      </c>
      <c r="AH75" t="str">
        <f>'附件4 规划外'!O185</f>
        <v>市工业和信息化局</v>
      </c>
      <c r="AI75" t="str">
        <f>'附件4 规划外'!P185</f>
        <v>尉氏县</v>
      </c>
      <c r="AJ75">
        <f>'附件4 规划外'!Q185</f>
        <v>0</v>
      </c>
      <c r="AK75">
        <f>'附件4 规划外'!R185</f>
        <v>0</v>
      </c>
    </row>
    <row r="76" hidden="1" spans="1:37">
      <c r="A76">
        <f>'附件3 规划内'!A196</f>
        <v>195</v>
      </c>
      <c r="B76" t="str">
        <f>'附件3 规划内'!B196</f>
        <v>尉氏县基层敬老院灾后重建工程建设项目</v>
      </c>
      <c r="C76" t="str">
        <f>'附件3 规划内'!C196</f>
        <v>民政</v>
      </c>
      <c r="D76" t="str">
        <f>'附件3 规划内'!D196</f>
        <v>对全县13所公办养老机构进行灾后维修及院民所需受灾设施设备购买完善。</v>
      </c>
      <c r="E76">
        <f>'附件3 规划内'!E196</f>
        <v>200</v>
      </c>
      <c r="F76">
        <f>'附件3 规划内'!F196</f>
        <v>100</v>
      </c>
      <c r="G76">
        <f>'附件3 规划内'!G196</f>
        <v>100</v>
      </c>
      <c r="H76">
        <f>'附件3 规划内'!H196</f>
        <v>0</v>
      </c>
      <c r="I76" t="str">
        <f>'附件3 规划内'!I196</f>
        <v>完工</v>
      </c>
      <c r="J76">
        <f>'附件3 规划内'!J196</f>
        <v>200</v>
      </c>
      <c r="K76">
        <f>'附件3 规划内'!K196</f>
        <v>100</v>
      </c>
      <c r="L76" t="str">
        <f>'附件3 规划内'!L196</f>
        <v>庄头敬老院完成墙体粉刷，正在进行绿化和设备采购</v>
      </c>
      <c r="M76" s="26">
        <f>'附件3 规划内'!M196</f>
        <v>44470</v>
      </c>
      <c r="N76" s="26">
        <f>'附件3 规划内'!N196</f>
        <v>44713</v>
      </c>
      <c r="O76" t="str">
        <f>'附件3 规划内'!O196</f>
        <v>市民政局</v>
      </c>
      <c r="P76" t="str">
        <f>'附件3 规划内'!P196</f>
        <v>尉氏县</v>
      </c>
      <c r="Q76">
        <f>'附件3 规划内'!Q196</f>
        <v>0</v>
      </c>
      <c r="R76">
        <f>'附件3 规划内'!R196</f>
        <v>0</v>
      </c>
      <c r="T76">
        <f>'附件4 规划外'!A186</f>
        <v>199</v>
      </c>
      <c r="U76" t="str">
        <f>'附件4 规划外'!B186</f>
        <v>河南蔚源生物科技有限公司</v>
      </c>
      <c r="V76" t="str">
        <f>'附件4 规划外'!C186</f>
        <v>产业</v>
      </c>
      <c r="W76" t="str">
        <f>'附件4 规划外'!D186</f>
        <v>CO2气体保护焊机 大焊机  防爆摆线针轮减速机3台 电机一台 离心机 等离子切割机 手动切割机 LPG气化器   罗茨真空泵 防爆电机 双  杆空压机 制氮机 自吸泵 离心泵 化工自吸泵一台 离心泵一台  不锈钢自吸泵2台 化工自吸泵一台</v>
      </c>
      <c r="X76">
        <f>'附件4 规划外'!E186</f>
        <v>14.1</v>
      </c>
      <c r="Y76">
        <f>'附件4 规划外'!F186</f>
        <v>14.1</v>
      </c>
      <c r="Z76">
        <f>'附件4 规划外'!G186</f>
        <v>0</v>
      </c>
      <c r="AA76">
        <f>'附件4 规划外'!H186</f>
        <v>0</v>
      </c>
      <c r="AB76" t="str">
        <f>'附件4 规划外'!I186</f>
        <v>完工</v>
      </c>
      <c r="AC76">
        <f>'附件4 规划外'!J186</f>
        <v>14.1</v>
      </c>
      <c r="AD76" t="str">
        <f>'附件4 规划外'!K186</f>
        <v/>
      </c>
      <c r="AE76" t="str">
        <f>'附件4 规划外'!L186</f>
        <v>竣工</v>
      </c>
      <c r="AF76" s="26">
        <f>'附件4 规划外'!M186</f>
        <v>44378</v>
      </c>
      <c r="AG76" s="26">
        <f>'附件4 规划外'!N186</f>
        <v>44440</v>
      </c>
      <c r="AH76" t="str">
        <f>'附件4 规划外'!O186</f>
        <v>市工业和信息化局</v>
      </c>
      <c r="AI76" t="str">
        <f>'附件4 规划外'!P186</f>
        <v>尉氏县</v>
      </c>
      <c r="AJ76">
        <f>'附件4 规划外'!Q186</f>
        <v>0</v>
      </c>
      <c r="AK76">
        <f>'附件4 规划外'!R186</f>
        <v>0</v>
      </c>
    </row>
    <row r="77" hidden="1" spans="1:37">
      <c r="A77">
        <f>'附件3 规划内'!A197</f>
        <v>196</v>
      </c>
      <c r="B77" t="str">
        <f>'附件3 规划内'!B197</f>
        <v>尉氏县社会福利中心受损设施恢复重建</v>
      </c>
      <c r="C77" t="str">
        <f>'附件3 规划内'!C197</f>
        <v>民政</v>
      </c>
      <c r="D77" t="str">
        <f>'附件3 规划内'!D197</f>
        <v>对福利中心院内的房屋、围墙、管网、用电线路、消防设施、道路等进行恢复重建。</v>
      </c>
      <c r="E77">
        <f>'附件3 规划内'!E197</f>
        <v>300</v>
      </c>
      <c r="F77">
        <f>'附件3 规划内'!F197</f>
        <v>10</v>
      </c>
      <c r="G77">
        <f>'附件3 规划内'!G197</f>
        <v>290</v>
      </c>
      <c r="H77">
        <f>'附件3 规划内'!H197</f>
        <v>0</v>
      </c>
      <c r="I77" t="str">
        <f>'附件3 规划内'!I197</f>
        <v>在建</v>
      </c>
      <c r="J77">
        <f>'附件3 规划内'!J197</f>
        <v>167.87</v>
      </c>
      <c r="K77">
        <f>'附件3 规划内'!K197</f>
        <v>157.87</v>
      </c>
      <c r="L77" t="str">
        <f>'附件3 规划内'!L197</f>
        <v>完成护坡绿化、监控设备维修更换</v>
      </c>
      <c r="M77" s="26">
        <f>'附件3 规划内'!M197</f>
        <v>44501</v>
      </c>
      <c r="N77" s="26">
        <f>'附件3 规划内'!N197</f>
        <v>44713</v>
      </c>
      <c r="O77" t="str">
        <f>'附件3 规划内'!O197</f>
        <v>市民政局</v>
      </c>
      <c r="P77" t="str">
        <f>'附件3 规划内'!P197</f>
        <v>尉氏县</v>
      </c>
      <c r="Q77">
        <f>'附件3 规划内'!Q197</f>
        <v>0</v>
      </c>
      <c r="R77">
        <f>'附件3 规划内'!R197</f>
        <v>0</v>
      </c>
      <c r="T77">
        <f>'附件4 规划外'!A187</f>
        <v>200</v>
      </c>
      <c r="U77" t="str">
        <f>'附件4 规划外'!B187</f>
        <v>河南省顺鑫食品有限公司</v>
      </c>
      <c r="V77" t="str">
        <f>'附件4 规划外'!C187</f>
        <v>产业</v>
      </c>
      <c r="W77" t="str">
        <f>'附件4 规划外'!D187</f>
        <v>1台100KV变压器3只变压保险丝，避雷器，1台变压器总配箱设施</v>
      </c>
      <c r="X77">
        <f>'附件4 规划外'!E187</f>
        <v>20.3</v>
      </c>
      <c r="Y77">
        <f>'附件4 规划外'!F187</f>
        <v>20.3</v>
      </c>
      <c r="Z77">
        <f>'附件4 规划外'!G187</f>
        <v>0</v>
      </c>
      <c r="AA77">
        <f>'附件4 规划外'!H187</f>
        <v>0</v>
      </c>
      <c r="AB77" t="str">
        <f>'附件4 规划外'!I187</f>
        <v>完工</v>
      </c>
      <c r="AC77">
        <f>'附件4 规划外'!J187</f>
        <v>20.3</v>
      </c>
      <c r="AD77" t="str">
        <f>'附件4 规划外'!K187</f>
        <v/>
      </c>
      <c r="AE77" t="str">
        <f>'附件4 规划外'!L187</f>
        <v>竣工</v>
      </c>
      <c r="AF77" s="26">
        <f>'附件4 规划外'!M187</f>
        <v>44378</v>
      </c>
      <c r="AG77" s="26">
        <f>'附件4 规划外'!N187</f>
        <v>44440</v>
      </c>
      <c r="AH77" t="str">
        <f>'附件4 规划外'!O187</f>
        <v>市工业和信息化局</v>
      </c>
      <c r="AI77" t="str">
        <f>'附件4 规划外'!P187</f>
        <v>尉氏县</v>
      </c>
      <c r="AJ77">
        <f>'附件4 规划外'!Q187</f>
        <v>0</v>
      </c>
      <c r="AK77">
        <f>'附件4 规划外'!R187</f>
        <v>0</v>
      </c>
    </row>
    <row r="78" hidden="1" spans="1:37">
      <c r="A78">
        <f>'附件3 规划内'!A198</f>
        <v>197</v>
      </c>
      <c r="B78" t="str">
        <f>'附件3 规划内'!B198</f>
        <v>尉氏县蔡庄镇罗庄小学</v>
      </c>
      <c r="C78" t="str">
        <f>'附件3 规划内'!C198</f>
        <v>教育</v>
      </c>
      <c r="D78" t="str">
        <f>'附件3 规划内'!D198</f>
        <v>计划投入资金2万元，维修加固厕所100平方米。</v>
      </c>
      <c r="E78">
        <f>'附件3 规划内'!E198</f>
        <v>1.48</v>
      </c>
      <c r="F78">
        <f>'附件3 规划内'!F198</f>
        <v>1.48</v>
      </c>
      <c r="G78">
        <f>'附件3 规划内'!G198</f>
        <v>0</v>
      </c>
      <c r="H78">
        <f>'附件3 规划内'!H198</f>
        <v>0</v>
      </c>
      <c r="I78" t="str">
        <f>'附件3 规划内'!I198</f>
        <v>完工</v>
      </c>
      <c r="J78">
        <f>'附件3 规划内'!J198</f>
        <v>1.48</v>
      </c>
      <c r="K78" t="str">
        <f>'附件3 规划内'!K198</f>
        <v/>
      </c>
      <c r="L78">
        <f>'附件3 规划内'!L198</f>
        <v>0</v>
      </c>
      <c r="M78" s="26">
        <f>'附件3 规划内'!M198</f>
        <v>44409</v>
      </c>
      <c r="N78" s="26">
        <f>'附件3 规划内'!N198</f>
        <v>44469</v>
      </c>
      <c r="O78" t="str">
        <f>'附件3 规划内'!O198</f>
        <v>市教体局</v>
      </c>
      <c r="P78" t="str">
        <f>'附件3 规划内'!P198</f>
        <v>尉氏县</v>
      </c>
      <c r="Q78">
        <f>'附件3 规划内'!Q198</f>
        <v>0</v>
      </c>
      <c r="R78">
        <f>'附件3 规划内'!R198</f>
        <v>0</v>
      </c>
      <c r="T78">
        <f>'附件4 规划外'!A188</f>
        <v>201</v>
      </c>
      <c r="U78" t="str">
        <f>'附件4 规划外'!B188</f>
        <v>河南省好姐弟食品有限公司</v>
      </c>
      <c r="V78" t="str">
        <f>'附件4 规划外'!C188</f>
        <v>产业</v>
      </c>
      <c r="W78" t="str">
        <f>'附件4 规划外'!D188</f>
        <v>给袋式包装机1台；油炸生产线1套；环保监控器1套</v>
      </c>
      <c r="X78">
        <f>'附件4 规划外'!E188</f>
        <v>23</v>
      </c>
      <c r="Y78">
        <f>'附件4 规划外'!F188</f>
        <v>23</v>
      </c>
      <c r="Z78">
        <f>'附件4 规划外'!G188</f>
        <v>0</v>
      </c>
      <c r="AA78">
        <f>'附件4 规划外'!H188</f>
        <v>0</v>
      </c>
      <c r="AB78" t="str">
        <f>'附件4 规划外'!I188</f>
        <v>完工</v>
      </c>
      <c r="AC78">
        <f>'附件4 规划外'!J188</f>
        <v>23</v>
      </c>
      <c r="AD78" t="str">
        <f>'附件4 规划外'!K188</f>
        <v/>
      </c>
      <c r="AE78" t="str">
        <f>'附件4 规划外'!L188</f>
        <v>竣工</v>
      </c>
      <c r="AF78" s="26">
        <f>'附件4 规划外'!M188</f>
        <v>44378</v>
      </c>
      <c r="AG78" s="26">
        <f>'附件4 规划外'!N188</f>
        <v>44440</v>
      </c>
      <c r="AH78" t="str">
        <f>'附件4 规划外'!O188</f>
        <v>市工业和信息化局</v>
      </c>
      <c r="AI78" t="str">
        <f>'附件4 规划外'!P188</f>
        <v>尉氏县</v>
      </c>
      <c r="AJ78">
        <f>'附件4 规划外'!Q188</f>
        <v>0</v>
      </c>
      <c r="AK78">
        <f>'附件4 规划外'!R188</f>
        <v>0</v>
      </c>
    </row>
    <row r="79" hidden="1" spans="1:37">
      <c r="A79">
        <f>'附件3 规划内'!A199</f>
        <v>197</v>
      </c>
      <c r="B79" t="str">
        <f>'附件3 规划内'!B199</f>
        <v>尉氏县蔡庄镇中心小学</v>
      </c>
      <c r="C79" t="str">
        <f>'附件3 规划内'!C199</f>
        <v>教育</v>
      </c>
      <c r="D79" t="str">
        <f>'附件3 规划内'!D199</f>
        <v>计划投入资金2.4万元，维修加固厕所120平方米。</v>
      </c>
      <c r="E79">
        <f>'附件3 规划内'!E199</f>
        <v>9.6</v>
      </c>
      <c r="F79">
        <f>'附件3 规划内'!F199</f>
        <v>9.6</v>
      </c>
      <c r="G79">
        <f>'附件3 规划内'!G199</f>
        <v>0</v>
      </c>
      <c r="H79">
        <f>'附件3 规划内'!H199</f>
        <v>0</v>
      </c>
      <c r="I79" t="str">
        <f>'附件3 规划内'!I199</f>
        <v>完工</v>
      </c>
      <c r="J79">
        <f>'附件3 规划内'!J199</f>
        <v>9.6</v>
      </c>
      <c r="K79" t="str">
        <f>'附件3 规划内'!K199</f>
        <v/>
      </c>
      <c r="L79">
        <f>'附件3 规划内'!L199</f>
        <v>0</v>
      </c>
      <c r="M79" s="26">
        <f>'附件3 规划内'!M199</f>
        <v>44409</v>
      </c>
      <c r="N79" s="26">
        <f>'附件3 规划内'!N199</f>
        <v>44469</v>
      </c>
      <c r="O79" t="str">
        <f>'附件3 规划内'!O199</f>
        <v>市教体局</v>
      </c>
      <c r="P79" t="str">
        <f>'附件3 规划内'!P199</f>
        <v>尉氏县</v>
      </c>
      <c r="Q79">
        <f>'附件3 规划内'!Q199</f>
        <v>0</v>
      </c>
      <c r="R79">
        <f>'附件3 规划内'!R199</f>
        <v>0</v>
      </c>
      <c r="T79">
        <f>'附件4 规划外'!A189</f>
        <v>202</v>
      </c>
      <c r="U79" t="str">
        <f>'附件4 规划外'!B189</f>
        <v>河南省丰利园食品有限公司</v>
      </c>
      <c r="V79" t="str">
        <f>'附件4 规划外'!C189</f>
        <v>产业</v>
      </c>
      <c r="W79" t="str">
        <f>'附件4 规划外'!D189</f>
        <v>烤箱一台；冷库外机两个成型机一台</v>
      </c>
      <c r="X79">
        <f>'附件4 规划外'!E189</f>
        <v>18</v>
      </c>
      <c r="Y79">
        <f>'附件4 规划外'!F189</f>
        <v>18</v>
      </c>
      <c r="Z79">
        <f>'附件4 规划外'!G189</f>
        <v>0</v>
      </c>
      <c r="AA79">
        <f>'附件4 规划外'!H189</f>
        <v>0</v>
      </c>
      <c r="AB79" t="str">
        <f>'附件4 规划外'!I189</f>
        <v>完工</v>
      </c>
      <c r="AC79">
        <f>'附件4 规划外'!J189</f>
        <v>18</v>
      </c>
      <c r="AD79" t="str">
        <f>'附件4 规划外'!K189</f>
        <v/>
      </c>
      <c r="AE79" t="str">
        <f>'附件4 规划外'!L189</f>
        <v>竣工</v>
      </c>
      <c r="AF79" s="26">
        <f>'附件4 规划外'!M189</f>
        <v>44378</v>
      </c>
      <c r="AG79" s="26">
        <f>'附件4 规划外'!N189</f>
        <v>44440</v>
      </c>
      <c r="AH79" t="str">
        <f>'附件4 规划外'!O189</f>
        <v>市工业和信息化局</v>
      </c>
      <c r="AI79" t="str">
        <f>'附件4 规划外'!P189</f>
        <v>尉氏县</v>
      </c>
      <c r="AJ79">
        <f>'附件4 规划外'!Q189</f>
        <v>0</v>
      </c>
      <c r="AK79">
        <f>'附件4 规划外'!R189</f>
        <v>0</v>
      </c>
    </row>
    <row r="80" hidden="1" spans="1:37">
      <c r="A80">
        <f>'附件3 规划内'!A200</f>
        <v>197</v>
      </c>
      <c r="B80" t="str">
        <f>'附件3 规划内'!B200</f>
        <v>尉氏县大马乡马古岗小学</v>
      </c>
      <c r="C80" t="str">
        <f>'附件3 规划内'!C200</f>
        <v>教育</v>
      </c>
      <c r="D80" t="str">
        <f>'附件3 规划内'!D200</f>
        <v>计划投入资金0.26万元，维修加固门卫室40平方米。</v>
      </c>
      <c r="E80">
        <f>'附件3 规划内'!E200</f>
        <v>0.34</v>
      </c>
      <c r="F80">
        <f>'附件3 规划内'!F200</f>
        <v>0.34</v>
      </c>
      <c r="G80">
        <f>'附件3 规划内'!G200</f>
        <v>0</v>
      </c>
      <c r="H80">
        <f>'附件3 规划内'!H200</f>
        <v>0</v>
      </c>
      <c r="I80" t="str">
        <f>'附件3 规划内'!I200</f>
        <v>完工</v>
      </c>
      <c r="J80">
        <f>'附件3 规划内'!J200</f>
        <v>0.34</v>
      </c>
      <c r="K80" t="str">
        <f>'附件3 规划内'!K200</f>
        <v/>
      </c>
      <c r="L80">
        <f>'附件3 规划内'!L200</f>
        <v>0</v>
      </c>
      <c r="M80" s="26">
        <f>'附件3 规划内'!M200</f>
        <v>44409</v>
      </c>
      <c r="N80" s="26">
        <f>'附件3 规划内'!N200</f>
        <v>44469</v>
      </c>
      <c r="O80" t="str">
        <f>'附件3 规划内'!O200</f>
        <v>市教体局</v>
      </c>
      <c r="P80" t="str">
        <f>'附件3 规划内'!P200</f>
        <v>尉氏县</v>
      </c>
      <c r="Q80">
        <f>'附件3 规划内'!Q200</f>
        <v>0</v>
      </c>
      <c r="R80">
        <f>'附件3 规划内'!R200</f>
        <v>0</v>
      </c>
      <c r="T80">
        <f>'附件4 规划外'!A190</f>
        <v>203</v>
      </c>
      <c r="U80" t="str">
        <f>'附件4 规划外'!B190</f>
        <v>河南甲润木业有限公司</v>
      </c>
      <c r="V80" t="str">
        <f>'附件4 规划外'!C190</f>
        <v>产业</v>
      </c>
      <c r="W80" t="str">
        <f>'附件4 规划外'!D190</f>
        <v>粉尘房 除尘设备（mc-Ⅱ）更换维修</v>
      </c>
      <c r="X80">
        <f>'附件4 规划外'!E190</f>
        <v>12</v>
      </c>
      <c r="Y80">
        <f>'附件4 规划外'!F190</f>
        <v>12</v>
      </c>
      <c r="Z80">
        <f>'附件4 规划外'!G190</f>
        <v>0</v>
      </c>
      <c r="AA80">
        <f>'附件4 规划外'!H190</f>
        <v>0</v>
      </c>
      <c r="AB80" t="str">
        <f>'附件4 规划外'!I190</f>
        <v>完工</v>
      </c>
      <c r="AC80">
        <f>'附件4 规划外'!J190</f>
        <v>12</v>
      </c>
      <c r="AD80" t="str">
        <f>'附件4 规划外'!K190</f>
        <v/>
      </c>
      <c r="AE80" t="str">
        <f>'附件4 规划外'!L190</f>
        <v>竣工</v>
      </c>
      <c r="AF80" s="26">
        <f>'附件4 规划外'!M190</f>
        <v>44378</v>
      </c>
      <c r="AG80" s="26">
        <f>'附件4 规划外'!N190</f>
        <v>44440</v>
      </c>
      <c r="AH80" t="str">
        <f>'附件4 规划外'!O190</f>
        <v>市工业和信息化局</v>
      </c>
      <c r="AI80" t="str">
        <f>'附件4 规划外'!P190</f>
        <v>尉氏县</v>
      </c>
      <c r="AJ80">
        <f>'附件4 规划外'!Q190</f>
        <v>0</v>
      </c>
      <c r="AK80">
        <f>'附件4 规划外'!R190</f>
        <v>0</v>
      </c>
    </row>
    <row r="81" hidden="1" spans="1:37">
      <c r="A81">
        <f>'附件3 规划内'!A201</f>
        <v>197</v>
      </c>
      <c r="B81" t="str">
        <f>'附件3 规划内'!B201</f>
        <v>尉氏县大马乡任泽小学</v>
      </c>
      <c r="C81" t="str">
        <f>'附件3 规划内'!C201</f>
        <v>教育</v>
      </c>
      <c r="D81" t="str">
        <f>'附件3 规划内'!D201</f>
        <v>计划投入资金0.3万元，维修加固办公室及器材室72平方米。</v>
      </c>
      <c r="E81">
        <f>'附件3 规划内'!E201</f>
        <v>0.15</v>
      </c>
      <c r="F81">
        <f>'附件3 规划内'!F201</f>
        <v>0.15</v>
      </c>
      <c r="G81">
        <f>'附件3 规划内'!G201</f>
        <v>0</v>
      </c>
      <c r="H81">
        <f>'附件3 规划内'!H201</f>
        <v>0</v>
      </c>
      <c r="I81" t="str">
        <f>'附件3 规划内'!I201</f>
        <v>完工</v>
      </c>
      <c r="J81">
        <f>'附件3 规划内'!J201</f>
        <v>0.15</v>
      </c>
      <c r="K81" t="str">
        <f>'附件3 规划内'!K201</f>
        <v/>
      </c>
      <c r="L81">
        <f>'附件3 规划内'!L201</f>
        <v>0</v>
      </c>
      <c r="M81" s="26">
        <f>'附件3 规划内'!M201</f>
        <v>44409</v>
      </c>
      <c r="N81" s="26">
        <f>'附件3 规划内'!N201</f>
        <v>44469</v>
      </c>
      <c r="O81" t="str">
        <f>'附件3 规划内'!O201</f>
        <v>市教体局</v>
      </c>
      <c r="P81" t="str">
        <f>'附件3 规划内'!P201</f>
        <v>尉氏县</v>
      </c>
      <c r="Q81">
        <f>'附件3 规划内'!Q201</f>
        <v>0</v>
      </c>
      <c r="R81">
        <f>'附件3 规划内'!R201</f>
        <v>0</v>
      </c>
      <c r="T81">
        <f>'附件4 规划外'!A191</f>
        <v>204</v>
      </c>
      <c r="U81" t="str">
        <f>'附件4 规划外'!B191</f>
        <v>开封力嘉食品科技有限公司</v>
      </c>
      <c r="V81" t="str">
        <f>'附件4 规划外'!C191</f>
        <v>产业</v>
      </c>
      <c r="W81" t="str">
        <f>'附件4 规划外'!D191</f>
        <v>不锈钢转子泵1
不锈钢转子泵2
打包机
打包机（停用状态）
采集器
砝码
循环型工业热风机
工业除湿机
工业除湿机
工业除湿机
冷冻库
半自动打包机
肩背式吸尘器
缠绕包装机
缠绕包装机
2、5号冷藏库
冷库机组
1/4号冷藏库
1/4号冷藏库
自动灌装设备</v>
      </c>
      <c r="X81">
        <f>'附件4 规划外'!E191</f>
        <v>120</v>
      </c>
      <c r="Y81">
        <f>'附件4 规划外'!F191</f>
        <v>120</v>
      </c>
      <c r="Z81">
        <f>'附件4 规划外'!G191</f>
        <v>0</v>
      </c>
      <c r="AA81">
        <f>'附件4 规划外'!H191</f>
        <v>0</v>
      </c>
      <c r="AB81" t="str">
        <f>'附件4 规划外'!I191</f>
        <v>完工</v>
      </c>
      <c r="AC81">
        <f>'附件4 规划外'!J191</f>
        <v>120</v>
      </c>
      <c r="AD81" t="str">
        <f>'附件4 规划外'!K191</f>
        <v/>
      </c>
      <c r="AE81" t="str">
        <f>'附件4 规划外'!L191</f>
        <v>竣工</v>
      </c>
      <c r="AF81" s="26">
        <f>'附件4 规划外'!M191</f>
        <v>44378</v>
      </c>
      <c r="AG81" s="26">
        <f>'附件4 规划外'!N191</f>
        <v>44440</v>
      </c>
      <c r="AH81" t="str">
        <f>'附件4 规划外'!O191</f>
        <v>市工业和信息化局</v>
      </c>
      <c r="AI81" t="str">
        <f>'附件4 规划外'!P191</f>
        <v>尉氏县</v>
      </c>
      <c r="AJ81">
        <f>'附件4 规划外'!Q191</f>
        <v>0</v>
      </c>
      <c r="AK81">
        <f>'附件4 规划外'!R191</f>
        <v>0</v>
      </c>
    </row>
    <row r="82" hidden="1" spans="1:37">
      <c r="A82">
        <f>'附件3 规划内'!A202</f>
        <v>197</v>
      </c>
      <c r="B82" t="str">
        <f>'附件3 规划内'!B202</f>
        <v>尉氏县岗李乡段庄小学</v>
      </c>
      <c r="C82" t="str">
        <f>'附件3 规划内'!C202</f>
        <v>教育</v>
      </c>
      <c r="D82" t="str">
        <f>'附件3 规划内'!D202</f>
        <v>计划投入资金1.2万元，维修加固大门30平方米。</v>
      </c>
      <c r="E82">
        <f>'附件3 规划内'!E202</f>
        <v>0</v>
      </c>
      <c r="F82">
        <f>'附件3 规划内'!F202</f>
        <v>0</v>
      </c>
      <c r="G82">
        <f>'附件3 规划内'!G202</f>
        <v>0</v>
      </c>
      <c r="H82">
        <f>'附件3 规划内'!H202</f>
        <v>0</v>
      </c>
      <c r="I82" t="str">
        <f>'附件3 规划内'!I202</f>
        <v>完工</v>
      </c>
      <c r="J82">
        <f>'附件3 规划内'!J202</f>
        <v>0</v>
      </c>
      <c r="K82" t="str">
        <f>'附件3 规划内'!K202</f>
        <v/>
      </c>
      <c r="L82">
        <f>'附件3 规划内'!L202</f>
        <v>0</v>
      </c>
      <c r="M82" s="26">
        <f>'附件3 规划内'!M202</f>
        <v>44409</v>
      </c>
      <c r="N82" s="26">
        <f>'附件3 规划内'!N202</f>
        <v>44469</v>
      </c>
      <c r="O82" t="str">
        <f>'附件3 规划内'!O202</f>
        <v>市教体局</v>
      </c>
      <c r="P82" t="str">
        <f>'附件3 规划内'!P202</f>
        <v>尉氏县</v>
      </c>
      <c r="Q82">
        <f>'附件3 规划内'!Q202</f>
        <v>0</v>
      </c>
      <c r="R82">
        <f>'附件3 规划内'!R202</f>
        <v>0</v>
      </c>
      <c r="T82">
        <f>'附件4 规划外'!A192</f>
        <v>205</v>
      </c>
      <c r="U82" t="str">
        <f>'附件4 规划外'!B192</f>
        <v>河南省中原皓月清真食品工业有限公司</v>
      </c>
      <c r="V82" t="str">
        <f>'附件4 规划外'!C192</f>
        <v>产业</v>
      </c>
      <c r="W82" t="str">
        <f>'附件4 规划外'!D192</f>
        <v>控制柜 自吸无堵塞排污泵控制柜 2 组
自吸无堵塞排污泵 ZW80-65-20-7.5 4 组
空压机（150升）  1 台
备用电机  4 台
循环泵  4 台
压泥机组 DWT1500-A 2 组
在线监测房屋  1 间
变压器 1600KVA 3 台
箱式变压器 1600KVA 1 台
高压开关柜 KZW-M 12 组
低压开关柜 50HZ/380V  组
整流电瓶柜 PZG-ZK 2 组
高低压联络柜 GZS1-14/KYN28-12 2 箱
值班空调 格力 5P 3 台
避雷柜 GZS1-23 2 组
进线柜 GZS1-22 2 组
计量柜 GZS1-21 2 组
出线柜 GZS1-12 4 组
隔离柜 GZS1-15 1 组
蓄电池屏 PZG-D 1 组
电容补偿柜 21AA/22AA 7 组
控制电源柜 30KW/50A 2 台
锅炉控制柜 150VA 2 台
天然气锅炉 WNSZ-1.0-YQ  WNSZ-1.25-YQ 2 组
解析除氧器 CJY-20 1 套
分汽缸 0516×8×3516 1 台
锅炉给水泵 ZQS-15/17 4 台
电焊机 350 1 台
切割机 400 1 台
压缩机控制柜 EACSB-F220HY 13 台
系统供应控制柜（通讯） 松下 4 台
事故风机控制柜 0413-OFX 1 台
气体报警器 氨气 1 台
压缩机油泵 YF-150 13 台
氨泵 40P10X4-RW-122.5 20 台
油泵 16# 2 台
油泵电机 16# 1 台
压缩机精粗滤芯  6 套
空气油分滤芯  1 套
加油泵  1 个
正压式呼吸机  2 台
真空泵  2 台
制冷泵房配电柜 冲霜水泵 1 台
乙二醇配电柜 SUP-1.1B 1 台
电机 SUP-1.1B 2 台
供水泵  5 台
消防泵  4 台
液位泵  2 台
二氧化氯发生器 ZSH-02000DC32 1 组
控制电柜 Q-SUVU26-2006 3 组
水泵电柜 Q-SUVU26-2006 3 组</v>
      </c>
      <c r="X82">
        <f>'附件4 规划外'!E192</f>
        <v>6</v>
      </c>
      <c r="Y82">
        <f>'附件4 规划外'!F192</f>
        <v>6</v>
      </c>
      <c r="Z82">
        <f>'附件4 规划外'!G192</f>
        <v>0</v>
      </c>
      <c r="AA82">
        <f>'附件4 规划外'!H192</f>
        <v>0</v>
      </c>
      <c r="AB82" t="str">
        <f>'附件4 规划外'!I192</f>
        <v>完工</v>
      </c>
      <c r="AC82">
        <f>'附件4 规划外'!J192</f>
        <v>6</v>
      </c>
      <c r="AD82" t="str">
        <f>'附件4 规划外'!K192</f>
        <v/>
      </c>
      <c r="AE82" t="str">
        <f>'附件4 规划外'!L192</f>
        <v>竣工</v>
      </c>
      <c r="AF82" s="26">
        <f>'附件4 规划外'!M192</f>
        <v>44378</v>
      </c>
      <c r="AG82" s="26">
        <f>'附件4 规划外'!N192</f>
        <v>44440</v>
      </c>
      <c r="AH82" t="str">
        <f>'附件4 规划外'!O192</f>
        <v>市工业和信息化局</v>
      </c>
      <c r="AI82" t="str">
        <f>'附件4 规划外'!P192</f>
        <v>尉氏县</v>
      </c>
      <c r="AJ82">
        <f>'附件4 规划外'!Q192</f>
        <v>0</v>
      </c>
      <c r="AK82">
        <f>'附件4 规划外'!R192</f>
        <v>0</v>
      </c>
    </row>
    <row r="83" hidden="1" spans="1:37">
      <c r="A83">
        <f>'附件3 规划内'!A203</f>
        <v>197</v>
      </c>
      <c r="B83" t="str">
        <f>'附件3 规划内'!B203</f>
        <v>尉氏县岗李乡肖庄小学</v>
      </c>
      <c r="C83" t="str">
        <f>'附件3 规划内'!C203</f>
        <v>教育</v>
      </c>
      <c r="D83" t="str">
        <f>'附件3 规划内'!D203</f>
        <v>计划投入资金8万元，维修加固教室200平方米。</v>
      </c>
      <c r="E83">
        <f>'附件3 规划内'!E203</f>
        <v>150.6</v>
      </c>
      <c r="F83">
        <f>'附件3 规划内'!F203</f>
        <v>150.6</v>
      </c>
      <c r="G83">
        <f>'附件3 规划内'!G203</f>
        <v>0</v>
      </c>
      <c r="H83">
        <f>'附件3 规划内'!H203</f>
        <v>0</v>
      </c>
      <c r="I83" t="str">
        <f>'附件3 规划内'!I203</f>
        <v>完工</v>
      </c>
      <c r="J83">
        <f>'附件3 规划内'!J203</f>
        <v>150.6</v>
      </c>
      <c r="K83" t="str">
        <f>'附件3 规划内'!K203</f>
        <v/>
      </c>
      <c r="L83">
        <f>'附件3 规划内'!L203</f>
        <v>0</v>
      </c>
      <c r="M83" s="26">
        <f>'附件3 规划内'!M203</f>
        <v>44409</v>
      </c>
      <c r="N83" s="26">
        <f>'附件3 规划内'!N203</f>
        <v>44469</v>
      </c>
      <c r="O83" t="str">
        <f>'附件3 规划内'!O203</f>
        <v>市教体局</v>
      </c>
      <c r="P83" t="str">
        <f>'附件3 规划内'!P203</f>
        <v>尉氏县</v>
      </c>
      <c r="Q83">
        <f>'附件3 规划内'!Q203</f>
        <v>0</v>
      </c>
      <c r="R83">
        <f>'附件3 规划内'!R203</f>
        <v>0</v>
      </c>
      <c r="T83">
        <f>'附件4 规划外'!A193</f>
        <v>206</v>
      </c>
      <c r="U83" t="str">
        <f>'附件4 规划外'!B193</f>
        <v>尉氏县东辰生物科技有限公司</v>
      </c>
      <c r="V83" t="str">
        <f>'附件4 规划外'!C193</f>
        <v>产业</v>
      </c>
      <c r="W83" t="str">
        <f>'附件4 规划外'!D193</f>
        <v>4头灌装机、单头灌装机、水冷封口机、传送带电机、自吸泵、搅拌机、贴标机、打包机、工业扇</v>
      </c>
      <c r="X83">
        <f>'附件4 规划外'!E193</f>
        <v>5.65</v>
      </c>
      <c r="Y83">
        <f>'附件4 规划外'!F193</f>
        <v>5.65</v>
      </c>
      <c r="Z83">
        <f>'附件4 规划外'!G193</f>
        <v>0</v>
      </c>
      <c r="AA83">
        <f>'附件4 规划外'!H193</f>
        <v>0</v>
      </c>
      <c r="AB83" t="str">
        <f>'附件4 规划外'!I193</f>
        <v>完工</v>
      </c>
      <c r="AC83">
        <f>'附件4 规划外'!J193</f>
        <v>5.65</v>
      </c>
      <c r="AD83" t="str">
        <f>'附件4 规划外'!K193</f>
        <v/>
      </c>
      <c r="AE83" t="str">
        <f>'附件4 规划外'!L193</f>
        <v>竣工</v>
      </c>
      <c r="AF83" s="26">
        <f>'附件4 规划外'!M193</f>
        <v>44378</v>
      </c>
      <c r="AG83" s="26">
        <f>'附件4 规划外'!N193</f>
        <v>44440</v>
      </c>
      <c r="AH83" t="str">
        <f>'附件4 规划外'!O193</f>
        <v>市工业和信息化局</v>
      </c>
      <c r="AI83" t="str">
        <f>'附件4 规划外'!P193</f>
        <v>尉氏县</v>
      </c>
      <c r="AJ83">
        <f>'附件4 规划外'!Q193</f>
        <v>0</v>
      </c>
      <c r="AK83">
        <f>'附件4 规划外'!R193</f>
        <v>0</v>
      </c>
    </row>
    <row r="84" hidden="1" spans="1:37">
      <c r="A84">
        <f>'附件3 规划内'!A204</f>
        <v>197</v>
      </c>
      <c r="B84" t="str">
        <f>'附件3 规划内'!B204</f>
        <v>尉氏县南曹乡代庄小学</v>
      </c>
      <c r="C84" t="str">
        <f>'附件3 规划内'!C204</f>
        <v>教育</v>
      </c>
      <c r="D84" t="str">
        <f>'附件3 规划内'!D204</f>
        <v>计划投入资金3.16万元，维修加固校园厕所80平方米。</v>
      </c>
      <c r="E84">
        <f>'附件3 规划内'!E204</f>
        <v>4</v>
      </c>
      <c r="F84">
        <f>'附件3 规划内'!F204</f>
        <v>4</v>
      </c>
      <c r="G84">
        <f>'附件3 规划内'!G204</f>
        <v>0</v>
      </c>
      <c r="H84">
        <f>'附件3 规划内'!H204</f>
        <v>0</v>
      </c>
      <c r="I84" t="str">
        <f>'附件3 规划内'!I204</f>
        <v>完工</v>
      </c>
      <c r="J84">
        <f>'附件3 规划内'!J204</f>
        <v>4</v>
      </c>
      <c r="K84" t="str">
        <f>'附件3 规划内'!K204</f>
        <v/>
      </c>
      <c r="L84">
        <f>'附件3 规划内'!L204</f>
        <v>0</v>
      </c>
      <c r="M84" s="26">
        <f>'附件3 规划内'!M204</f>
        <v>44409</v>
      </c>
      <c r="N84" s="26">
        <f>'附件3 规划内'!N204</f>
        <v>44469</v>
      </c>
      <c r="O84" t="str">
        <f>'附件3 规划内'!O204</f>
        <v>市教体局</v>
      </c>
      <c r="P84" t="str">
        <f>'附件3 规划内'!P204</f>
        <v>尉氏县</v>
      </c>
      <c r="Q84">
        <f>'附件3 规划内'!Q204</f>
        <v>0</v>
      </c>
      <c r="R84">
        <f>'附件3 规划内'!R204</f>
        <v>0</v>
      </c>
      <c r="T84">
        <f>'附件4 规划外'!A194</f>
        <v>207</v>
      </c>
      <c r="U84" t="str">
        <f>'附件4 规划外'!B194</f>
        <v>商超、电商企业加油站灾后修复项目</v>
      </c>
      <c r="V84" t="str">
        <f>'附件4 规划外'!C194</f>
        <v>商超</v>
      </c>
      <c r="W84" t="str">
        <f>'附件4 规划外'!D194</f>
        <v>对鲜风超市、容培商行、百泰副食、开封亚符电子商务有限公司</v>
      </c>
      <c r="X84">
        <f>'附件4 规划外'!E194</f>
        <v>20</v>
      </c>
      <c r="Y84">
        <f>'附件4 规划外'!F194</f>
        <v>20</v>
      </c>
      <c r="Z84">
        <f>'附件4 规划外'!G194</f>
        <v>0</v>
      </c>
      <c r="AA84">
        <f>'附件4 规划外'!H194</f>
        <v>0</v>
      </c>
      <c r="AB84" t="str">
        <f>'附件4 规划外'!I194</f>
        <v>完工</v>
      </c>
      <c r="AC84">
        <f>'附件4 规划外'!J194</f>
        <v>20</v>
      </c>
      <c r="AD84" t="str">
        <f>'附件4 规划外'!K194</f>
        <v/>
      </c>
      <c r="AE84" t="str">
        <f>'附件4 规划外'!L194</f>
        <v>竣工</v>
      </c>
      <c r="AF84" s="26">
        <f>'附件4 规划外'!M194</f>
        <v>44409</v>
      </c>
      <c r="AG84" s="26">
        <f>'附件4 规划外'!N194</f>
        <v>44440</v>
      </c>
      <c r="AH84" t="str">
        <f>'附件4 规划外'!O194</f>
        <v>市工业和信息化局</v>
      </c>
      <c r="AI84" t="str">
        <f>'附件4 规划外'!P194</f>
        <v>尉氏县</v>
      </c>
      <c r="AJ84">
        <f>'附件4 规划外'!Q194</f>
        <v>0</v>
      </c>
      <c r="AK84">
        <f>'附件4 规划外'!R194</f>
        <v>0</v>
      </c>
    </row>
    <row r="85" spans="1:37">
      <c r="A85">
        <f>'附件3 规划内'!A205</f>
        <v>197</v>
      </c>
      <c r="B85" t="str">
        <f>'附件3 规划内'!B205</f>
        <v>尉氏县水坡镇老李小学</v>
      </c>
      <c r="C85" t="str">
        <f>'附件3 规划内'!C205</f>
        <v>教育</v>
      </c>
      <c r="D85" t="str">
        <f>'附件3 规划内'!D205</f>
        <v>计划投入资金11万元，维修加固教室252平方米。</v>
      </c>
      <c r="E85">
        <f>'附件3 规划内'!E205</f>
        <v>0.47</v>
      </c>
      <c r="F85">
        <f>'附件3 规划内'!F205</f>
        <v>0.47</v>
      </c>
      <c r="G85">
        <f>'附件3 规划内'!G205</f>
        <v>0</v>
      </c>
      <c r="H85">
        <f>'附件3 规划内'!H205</f>
        <v>0</v>
      </c>
      <c r="I85" t="str">
        <f>'附件3 规划内'!I205</f>
        <v>完工</v>
      </c>
      <c r="J85">
        <f>'附件3 规划内'!J205</f>
        <v>0.47</v>
      </c>
      <c r="K85" t="str">
        <f>'附件3 规划内'!K205</f>
        <v/>
      </c>
      <c r="L85">
        <f>'附件3 规划内'!L205</f>
        <v>0</v>
      </c>
      <c r="M85" s="26">
        <f>'附件3 规划内'!M205</f>
        <v>44409</v>
      </c>
      <c r="N85" s="26">
        <f>'附件3 规划内'!N205</f>
        <v>44469</v>
      </c>
      <c r="O85" t="str">
        <f>'附件3 规划内'!O205</f>
        <v>市教体局</v>
      </c>
      <c r="P85" t="str">
        <f>'附件3 规划内'!P205</f>
        <v>尉氏县</v>
      </c>
      <c r="Q85">
        <f>'附件3 规划内'!Q205</f>
        <v>0</v>
      </c>
      <c r="R85">
        <f>'附件3 规划内'!R205</f>
        <v>0</v>
      </c>
      <c r="T85">
        <f>'附件4 规划外'!A202</f>
        <v>215</v>
      </c>
      <c r="U85" t="str">
        <f>'附件4 规划外'!B202</f>
        <v>尉氏县水土保持</v>
      </c>
      <c r="V85" t="str">
        <f>'附件4 规划外'!C202</f>
        <v>其他</v>
      </c>
      <c r="W85" t="str">
        <f>'附件4 规划外'!D202</f>
        <v>农田防护林1000hm²,生产道路2278m. 治理水土流失面积10平方公里。</v>
      </c>
      <c r="X85">
        <f>'附件4 规划外'!E202</f>
        <v>460</v>
      </c>
      <c r="Y85">
        <f>'附件4 规划外'!F202</f>
        <v>0</v>
      </c>
      <c r="Z85">
        <f>'附件4 规划外'!G202</f>
        <v>460</v>
      </c>
      <c r="AA85">
        <f>'附件4 规划外'!H202</f>
        <v>0</v>
      </c>
      <c r="AB85" t="str">
        <f>'附件4 规划外'!I202</f>
        <v>在建</v>
      </c>
      <c r="AC85">
        <f>'附件4 规划外'!J202</f>
        <v>380</v>
      </c>
      <c r="AD85">
        <f>'附件4 规划外'!K202</f>
        <v>380</v>
      </c>
      <c r="AE85" t="str">
        <f>'附件4 规划外'!L202</f>
        <v>方案在编</v>
      </c>
      <c r="AF85" s="26">
        <f>'附件4 规划外'!M202</f>
        <v>44682</v>
      </c>
      <c r="AG85" s="26">
        <f>'附件4 规划外'!N202</f>
        <v>44896</v>
      </c>
      <c r="AH85" t="str">
        <f>'附件4 规划外'!O202</f>
        <v>市水利局</v>
      </c>
      <c r="AI85" t="str">
        <f>'附件4 规划外'!P202</f>
        <v>尉氏县</v>
      </c>
      <c r="AJ85">
        <f>'附件4 规划外'!Q202</f>
        <v>0</v>
      </c>
      <c r="AK85">
        <f>'附件4 规划外'!R202</f>
        <v>0</v>
      </c>
    </row>
    <row r="86" spans="1:37">
      <c r="A86">
        <f>'附件3 规划内'!A206</f>
        <v>197</v>
      </c>
      <c r="B86" t="str">
        <f>'附件3 规划内'!B206</f>
        <v>尉氏县水坡镇牛集小学</v>
      </c>
      <c r="C86" t="str">
        <f>'附件3 规划内'!C206</f>
        <v>教育</v>
      </c>
      <c r="D86" t="str">
        <f>'附件3 规划内'!D206</f>
        <v>计划投入资金5.5万元，维修加固综合用房150平方米。</v>
      </c>
      <c r="E86">
        <f>'附件3 规划内'!E206</f>
        <v>1.13</v>
      </c>
      <c r="F86">
        <f>'附件3 规划内'!F206</f>
        <v>1.13</v>
      </c>
      <c r="G86">
        <f>'附件3 规划内'!G206</f>
        <v>0</v>
      </c>
      <c r="H86">
        <f>'附件3 规划内'!H206</f>
        <v>0</v>
      </c>
      <c r="I86" t="str">
        <f>'附件3 规划内'!I206</f>
        <v>完工</v>
      </c>
      <c r="J86">
        <f>'附件3 规划内'!J206</f>
        <v>1.13</v>
      </c>
      <c r="K86" t="str">
        <f>'附件3 规划内'!K206</f>
        <v/>
      </c>
      <c r="L86">
        <f>'附件3 规划内'!L206</f>
        <v>0</v>
      </c>
      <c r="M86" s="26">
        <f>'附件3 规划内'!M206</f>
        <v>44409</v>
      </c>
      <c r="N86" s="26">
        <f>'附件3 规划内'!N206</f>
        <v>44469</v>
      </c>
      <c r="O86" t="str">
        <f>'附件3 规划内'!O206</f>
        <v>市教体局</v>
      </c>
      <c r="P86" t="str">
        <f>'附件3 规划内'!P206</f>
        <v>尉氏县</v>
      </c>
      <c r="Q86">
        <f>'附件3 规划内'!Q206</f>
        <v>0</v>
      </c>
      <c r="R86">
        <f>'附件3 规划内'!R206</f>
        <v>0</v>
      </c>
      <c r="T86">
        <f>'附件4 规划外'!A206</f>
        <v>219</v>
      </c>
      <c r="U86" t="str">
        <f>'附件4 规划外'!B206</f>
        <v>尉氏县水资源节约管理与保护</v>
      </c>
      <c r="V86" t="str">
        <f>'附件4 规划外'!C206</f>
        <v>其他</v>
      </c>
      <c r="W86" t="str">
        <f>'附件4 规划外'!D206</f>
        <v>规模以上取水在线计量设施新建或改建</v>
      </c>
      <c r="X86">
        <f>'附件4 规划外'!E206</f>
        <v>25</v>
      </c>
      <c r="Y86">
        <f>'附件4 规划外'!F206</f>
        <v>0</v>
      </c>
      <c r="Z86">
        <f>'附件4 规划外'!G206</f>
        <v>25</v>
      </c>
      <c r="AA86">
        <f>'附件4 规划外'!H206</f>
        <v>0</v>
      </c>
      <c r="AB86" t="str">
        <f>'附件4 规划外'!I206</f>
        <v>完工</v>
      </c>
      <c r="AC86">
        <f>'附件4 规划外'!J206</f>
        <v>25</v>
      </c>
      <c r="AD86">
        <f>'附件4 规划外'!K206</f>
        <v>25</v>
      </c>
      <c r="AE86" t="str">
        <f>'附件4 规划外'!L206</f>
        <v>已完成20%</v>
      </c>
      <c r="AF86" s="26">
        <f>'附件4 规划外'!M206</f>
        <v>44682</v>
      </c>
      <c r="AG86" s="26">
        <f>'附件4 规划外'!N206</f>
        <v>44713</v>
      </c>
      <c r="AH86" t="str">
        <f>'附件4 规划外'!O206</f>
        <v>市水利局</v>
      </c>
      <c r="AI86" t="str">
        <f>'附件4 规划外'!P206</f>
        <v>尉氏县</v>
      </c>
      <c r="AJ86">
        <f>'附件4 规划外'!Q206</f>
        <v>0</v>
      </c>
      <c r="AK86">
        <f>'附件4 规划外'!R206</f>
        <v>0</v>
      </c>
    </row>
    <row r="87" spans="1:37">
      <c r="A87">
        <f>'附件3 规划内'!A207</f>
        <v>197</v>
      </c>
      <c r="B87" t="str">
        <f>'附件3 规划内'!B207</f>
        <v>尉氏县水坡镇瓦岗小学</v>
      </c>
      <c r="C87" t="str">
        <f>'附件3 规划内'!C207</f>
        <v>教育</v>
      </c>
      <c r="D87" t="str">
        <f>'附件3 规划内'!D207</f>
        <v>计划投入资金3万元，维修加固功能室90平方米。</v>
      </c>
      <c r="E87">
        <f>'附件3 规划内'!E207</f>
        <v>0.45</v>
      </c>
      <c r="F87">
        <f>'附件3 规划内'!F207</f>
        <v>0.45</v>
      </c>
      <c r="G87">
        <f>'附件3 规划内'!G207</f>
        <v>0</v>
      </c>
      <c r="H87">
        <f>'附件3 规划内'!H207</f>
        <v>0</v>
      </c>
      <c r="I87" t="str">
        <f>'附件3 规划内'!I207</f>
        <v>完工</v>
      </c>
      <c r="J87">
        <f>'附件3 规划内'!J207</f>
        <v>0.45</v>
      </c>
      <c r="K87" t="str">
        <f>'附件3 规划内'!K207</f>
        <v/>
      </c>
      <c r="L87">
        <f>'附件3 规划内'!L207</f>
        <v>0</v>
      </c>
      <c r="M87" s="26">
        <f>'附件3 规划内'!M207</f>
        <v>44409</v>
      </c>
      <c r="N87" s="26">
        <f>'附件3 规划内'!N207</f>
        <v>44469</v>
      </c>
      <c r="O87" t="str">
        <f>'附件3 规划内'!O207</f>
        <v>市教体局</v>
      </c>
      <c r="P87" t="str">
        <f>'附件3 规划内'!P207</f>
        <v>尉氏县</v>
      </c>
      <c r="Q87">
        <f>'附件3 规划内'!Q207</f>
        <v>0</v>
      </c>
      <c r="R87">
        <f>'附件3 规划内'!R207</f>
        <v>0</v>
      </c>
      <c r="T87">
        <f>'附件4 规划外'!A212</f>
        <v>225</v>
      </c>
      <c r="U87" t="str">
        <f>'附件4 规划外'!B212</f>
        <v>尉氏县农村饮水工程维修养护</v>
      </c>
      <c r="V87" t="str">
        <f>'附件4 规划外'!C212</f>
        <v>其他</v>
      </c>
      <c r="W87" t="str">
        <f>'附件4 规划外'!D212</f>
        <v>共敷设各类管网 112058m（不含入户管）；供水厂（站）中51套储水罐防腐处理（除锈、刷防锈漆、刷银粉浆）等</v>
      </c>
      <c r="X87">
        <f>'附件4 规划外'!E212</f>
        <v>361</v>
      </c>
      <c r="Y87">
        <f>'附件4 规划外'!F212</f>
        <v>0</v>
      </c>
      <c r="Z87">
        <f>'附件4 规划外'!G212</f>
        <v>361</v>
      </c>
      <c r="AA87">
        <f>'附件4 规划外'!H212</f>
        <v>0</v>
      </c>
      <c r="AB87" t="str">
        <f>'附件4 规划外'!I212</f>
        <v>完工</v>
      </c>
      <c r="AC87">
        <f>'附件4 规划外'!J212</f>
        <v>361</v>
      </c>
      <c r="AD87">
        <f>'附件4 规划外'!K212</f>
        <v>361</v>
      </c>
      <c r="AE87" t="str">
        <f>'附件4 规划外'!L212</f>
        <v>方案在编</v>
      </c>
      <c r="AF87" s="26">
        <f>'附件4 规划外'!M212</f>
        <v>44682</v>
      </c>
      <c r="AG87" s="26">
        <f>'附件4 规划外'!N212</f>
        <v>44713</v>
      </c>
      <c r="AH87" t="str">
        <f>'附件4 规划外'!O212</f>
        <v>市水利局</v>
      </c>
      <c r="AI87" t="str">
        <f>'附件4 规划外'!P212</f>
        <v>尉氏县</v>
      </c>
      <c r="AJ87">
        <f>'附件4 规划外'!Q212</f>
        <v>0</v>
      </c>
      <c r="AK87">
        <f>'附件4 规划外'!R212</f>
        <v>0</v>
      </c>
    </row>
    <row r="88" spans="1:37">
      <c r="A88">
        <f>'附件3 规划内'!A208</f>
        <v>197</v>
      </c>
      <c r="B88" t="str">
        <f>'附件3 规划内'!B208</f>
        <v>尉氏县邢庄乡丁庄小学</v>
      </c>
      <c r="C88" t="str">
        <f>'附件3 规划内'!C208</f>
        <v>教育</v>
      </c>
      <c r="D88" t="str">
        <f>'附件3 规划内'!D208</f>
        <v>计划投入资金6万元，维修加固北教学楼（西）180平方米。</v>
      </c>
      <c r="E88">
        <f>'附件3 规划内'!E208</f>
        <v>1.2</v>
      </c>
      <c r="F88">
        <f>'附件3 规划内'!F208</f>
        <v>1.2</v>
      </c>
      <c r="G88">
        <f>'附件3 规划内'!G208</f>
        <v>0</v>
      </c>
      <c r="H88">
        <f>'附件3 规划内'!H208</f>
        <v>0</v>
      </c>
      <c r="I88" t="str">
        <f>'附件3 规划内'!I208</f>
        <v>完工</v>
      </c>
      <c r="J88">
        <f>'附件3 规划内'!J208</f>
        <v>1.2</v>
      </c>
      <c r="K88" t="str">
        <f>'附件3 规划内'!K208</f>
        <v/>
      </c>
      <c r="L88">
        <f>'附件3 规划内'!L208</f>
        <v>0</v>
      </c>
      <c r="M88" s="26">
        <f>'附件3 规划内'!M208</f>
        <v>44409</v>
      </c>
      <c r="N88" s="26">
        <f>'附件3 规划内'!N208</f>
        <v>44469</v>
      </c>
      <c r="O88" t="str">
        <f>'附件3 规划内'!O208</f>
        <v>市教体局</v>
      </c>
      <c r="P88" t="str">
        <f>'附件3 规划内'!P208</f>
        <v>尉氏县</v>
      </c>
      <c r="Q88">
        <f>'附件3 规划内'!Q208</f>
        <v>0</v>
      </c>
      <c r="R88">
        <f>'附件3 规划内'!R208</f>
        <v>0</v>
      </c>
      <c r="T88">
        <f>'附件4 规划外'!A214</f>
        <v>227</v>
      </c>
      <c r="U88" t="str">
        <f>'附件4 规划外'!B214</f>
        <v>尉氏县小型水库工程设施维修养护</v>
      </c>
      <c r="V88" t="str">
        <f>'附件4 规划外'!C214</f>
        <v>其他</v>
      </c>
      <c r="W88" t="str">
        <f>'附件4 规划外'!D214</f>
        <v>更换启闭机、丝杠、室内线路、维修闸门</v>
      </c>
      <c r="X88">
        <f>'附件4 规划外'!E214</f>
        <v>5</v>
      </c>
      <c r="Y88">
        <f>'附件4 规划外'!F214</f>
        <v>0</v>
      </c>
      <c r="Z88">
        <f>'附件4 规划外'!G214</f>
        <v>5</v>
      </c>
      <c r="AA88">
        <f>'附件4 规划外'!H214</f>
        <v>0</v>
      </c>
      <c r="AB88" t="str">
        <f>'附件4 规划外'!I214</f>
        <v>完工</v>
      </c>
      <c r="AC88">
        <f>'附件4 规划外'!J214</f>
        <v>5</v>
      </c>
      <c r="AD88">
        <f>'附件4 规划外'!K214</f>
        <v>5</v>
      </c>
      <c r="AE88" t="str">
        <f>'附件4 规划外'!L214</f>
        <v>已完成</v>
      </c>
      <c r="AF88" s="26">
        <f>'附件4 规划外'!M214</f>
        <v>44682</v>
      </c>
      <c r="AG88" s="26">
        <f>'附件4 规划外'!N214</f>
        <v>44713</v>
      </c>
      <c r="AH88" t="str">
        <f>'附件4 规划外'!O214</f>
        <v>市水利局</v>
      </c>
      <c r="AI88" t="str">
        <f>'附件4 规划外'!P214</f>
        <v>尉氏县</v>
      </c>
      <c r="AJ88">
        <f>'附件4 规划外'!Q214</f>
        <v>0</v>
      </c>
      <c r="AK88">
        <f>'附件4 规划外'!R214</f>
        <v>0</v>
      </c>
    </row>
    <row r="89" spans="1:37">
      <c r="A89">
        <f>'附件3 规划内'!A209</f>
        <v>197</v>
      </c>
      <c r="B89" t="str">
        <f>'附件3 规划内'!B209</f>
        <v>尉氏县永兴镇黄岗小学</v>
      </c>
      <c r="C89" t="str">
        <f>'附件3 规划内'!C209</f>
        <v>教育</v>
      </c>
      <c r="D89" t="str">
        <f>'附件3 规划内'!D209</f>
        <v>计划投入资金2万元，维修加固储藏50平方米。</v>
      </c>
      <c r="E89">
        <f>'附件3 规划内'!E209</f>
        <v>0.6</v>
      </c>
      <c r="F89">
        <f>'附件3 规划内'!F209</f>
        <v>0.6</v>
      </c>
      <c r="G89">
        <f>'附件3 规划内'!G209</f>
        <v>0</v>
      </c>
      <c r="H89">
        <f>'附件3 规划内'!H209</f>
        <v>0</v>
      </c>
      <c r="I89" t="str">
        <f>'附件3 规划内'!I209</f>
        <v>完工</v>
      </c>
      <c r="J89">
        <f>'附件3 规划内'!J209</f>
        <v>0.6</v>
      </c>
      <c r="K89" t="str">
        <f>'附件3 规划内'!K209</f>
        <v/>
      </c>
      <c r="L89">
        <f>'附件3 规划内'!L209</f>
        <v>0</v>
      </c>
      <c r="M89" s="26">
        <f>'附件3 规划内'!M209</f>
        <v>44409</v>
      </c>
      <c r="N89" s="26">
        <f>'附件3 规划内'!N209</f>
        <v>44469</v>
      </c>
      <c r="O89" t="str">
        <f>'附件3 规划内'!O209</f>
        <v>市教体局</v>
      </c>
      <c r="P89" t="str">
        <f>'附件3 规划内'!P209</f>
        <v>尉氏县</v>
      </c>
      <c r="Q89">
        <f>'附件3 规划内'!Q209</f>
        <v>0</v>
      </c>
      <c r="R89">
        <f>'附件3 规划内'!R209</f>
        <v>0</v>
      </c>
      <c r="T89">
        <f>'附件4 规划外'!A226</f>
        <v>240</v>
      </c>
      <c r="U89" t="str">
        <f>'附件4 规划外'!B226</f>
        <v>尉氏县闹张线路面大修工程（新增）</v>
      </c>
      <c r="V89" t="str">
        <f>'附件4 规划外'!C226</f>
        <v>其他</v>
      </c>
      <c r="W89" t="str">
        <f>'附件4 规划外'!D226</f>
        <v>施工总里程10.0公里，路面宽9.0米，二级公路，沥青混凝土路面。</v>
      </c>
      <c r="X89">
        <f>'附件4 规划外'!E226</f>
        <v>1941.8</v>
      </c>
      <c r="Y89">
        <f>'附件4 规划外'!F226</f>
        <v>0</v>
      </c>
      <c r="Z89">
        <f>'附件4 规划外'!G226</f>
        <v>1941.8</v>
      </c>
      <c r="AA89">
        <f>'附件4 规划外'!H226</f>
        <v>0</v>
      </c>
      <c r="AB89" t="str">
        <f>'附件4 规划外'!I226</f>
        <v>在建</v>
      </c>
      <c r="AC89">
        <f>'附件4 规划外'!J226</f>
        <v>1690</v>
      </c>
      <c r="AD89">
        <f>'附件4 规划外'!K226</f>
        <v>1420</v>
      </c>
      <c r="AE89" t="str">
        <f>'附件4 规划外'!L226</f>
        <v>在建</v>
      </c>
      <c r="AF89">
        <f>'附件4 规划外'!M226</f>
        <v>44713</v>
      </c>
      <c r="AG89">
        <f>'附件4 规划外'!N226</f>
        <v>44805</v>
      </c>
      <c r="AH89" t="str">
        <f>'附件4 规划外'!O226</f>
        <v>市交通运输局</v>
      </c>
      <c r="AI89" t="str">
        <f>'附件4 规划外'!P226</f>
        <v>尉氏县</v>
      </c>
      <c r="AJ89">
        <f>'附件4 规划外'!Q226</f>
        <v>0</v>
      </c>
      <c r="AK89">
        <f>'附件4 规划外'!R226</f>
        <v>0</v>
      </c>
    </row>
    <row r="90" spans="1:18">
      <c r="A90">
        <f>'附件3 规划内'!A210</f>
        <v>197</v>
      </c>
      <c r="B90" t="str">
        <f>'附件3 规划内'!B210</f>
        <v>尉氏县永兴镇三柳小学</v>
      </c>
      <c r="C90" t="str">
        <f>'附件3 规划内'!C210</f>
        <v>教育</v>
      </c>
      <c r="D90" t="str">
        <f>'附件3 规划内'!D210</f>
        <v>计划投入资金2万元，维修加固功能室180平方米。</v>
      </c>
      <c r="E90">
        <f>'附件3 规划内'!E210</f>
        <v>1.1</v>
      </c>
      <c r="F90">
        <f>'附件3 规划内'!F210</f>
        <v>1.1</v>
      </c>
      <c r="G90">
        <f>'附件3 规划内'!G210</f>
        <v>0</v>
      </c>
      <c r="H90">
        <f>'附件3 规划内'!H210</f>
        <v>0</v>
      </c>
      <c r="I90" t="str">
        <f>'附件3 规划内'!I210</f>
        <v>完工</v>
      </c>
      <c r="J90">
        <f>'附件3 规划内'!J210</f>
        <v>1.1</v>
      </c>
      <c r="K90" t="str">
        <f>'附件3 规划内'!K210</f>
        <v/>
      </c>
      <c r="L90">
        <f>'附件3 规划内'!L210</f>
        <v>0</v>
      </c>
      <c r="M90" s="26">
        <f>'附件3 规划内'!M210</f>
        <v>44409</v>
      </c>
      <c r="N90" s="26">
        <f>'附件3 规划内'!N210</f>
        <v>44469</v>
      </c>
      <c r="O90" t="str">
        <f>'附件3 规划内'!O210</f>
        <v>市教体局</v>
      </c>
      <c r="P90" t="str">
        <f>'附件3 规划内'!P210</f>
        <v>尉氏县</v>
      </c>
      <c r="Q90">
        <f>'附件3 规划内'!Q210</f>
        <v>0</v>
      </c>
      <c r="R90">
        <f>'附件3 规划内'!R210</f>
        <v>0</v>
      </c>
    </row>
    <row r="91" spans="1:18">
      <c r="A91">
        <f>'附件3 规划内'!A211</f>
        <v>197</v>
      </c>
      <c r="B91" t="str">
        <f>'附件3 规划内'!B211</f>
        <v>尉氏县庄头镇第二初级中学</v>
      </c>
      <c r="C91" t="str">
        <f>'附件3 规划内'!C211</f>
        <v>教育</v>
      </c>
      <c r="D91" t="str">
        <f>'附件3 规划内'!D211</f>
        <v>计划投入资金0.8万元，维修加固门卫室50平方米。</v>
      </c>
      <c r="E91">
        <f>'附件3 规划内'!E211</f>
        <v>8.66</v>
      </c>
      <c r="F91">
        <f>'附件3 规划内'!F211</f>
        <v>8.66</v>
      </c>
      <c r="G91">
        <f>'附件3 规划内'!G211</f>
        <v>0</v>
      </c>
      <c r="H91">
        <f>'附件3 规划内'!H211</f>
        <v>0</v>
      </c>
      <c r="I91" t="str">
        <f>'附件3 规划内'!I211</f>
        <v>完工</v>
      </c>
      <c r="J91">
        <f>'附件3 规划内'!J211</f>
        <v>8.66</v>
      </c>
      <c r="K91" t="str">
        <f>'附件3 规划内'!K211</f>
        <v/>
      </c>
      <c r="L91">
        <f>'附件3 规划内'!L211</f>
        <v>0</v>
      </c>
      <c r="M91" s="26">
        <f>'附件3 规划内'!M211</f>
        <v>44409</v>
      </c>
      <c r="N91" s="26">
        <f>'附件3 规划内'!N211</f>
        <v>44469</v>
      </c>
      <c r="O91" t="str">
        <f>'附件3 规划内'!O211</f>
        <v>市教体局</v>
      </c>
      <c r="P91" t="str">
        <f>'附件3 规划内'!P211</f>
        <v>尉氏县</v>
      </c>
      <c r="Q91">
        <f>'附件3 规划内'!Q211</f>
        <v>0</v>
      </c>
      <c r="R91">
        <f>'附件3 规划内'!R211</f>
        <v>0</v>
      </c>
    </row>
    <row r="92" spans="1:18">
      <c r="A92">
        <f>'附件3 规划内'!A212</f>
        <v>197</v>
      </c>
      <c r="B92" t="str">
        <f>'附件3 规划内'!B212</f>
        <v>尉氏县庄头镇小营小学</v>
      </c>
      <c r="C92" t="str">
        <f>'附件3 规划内'!C212</f>
        <v>教育</v>
      </c>
      <c r="D92" t="str">
        <f>'附件3 规划内'!D212</f>
        <v>计划投入资金12万元，维修加固厕所240平方米。</v>
      </c>
      <c r="E92">
        <f>'附件3 规划内'!E212</f>
        <v>2</v>
      </c>
      <c r="F92">
        <f>'附件3 规划内'!F212</f>
        <v>2</v>
      </c>
      <c r="G92">
        <f>'附件3 规划内'!G212</f>
        <v>0</v>
      </c>
      <c r="H92">
        <f>'附件3 规划内'!H212</f>
        <v>0</v>
      </c>
      <c r="I92" t="str">
        <f>'附件3 规划内'!I212</f>
        <v>完工</v>
      </c>
      <c r="J92">
        <f>'附件3 规划内'!J212</f>
        <v>2</v>
      </c>
      <c r="K92" t="str">
        <f>'附件3 规划内'!K212</f>
        <v/>
      </c>
      <c r="L92">
        <f>'附件3 规划内'!L212</f>
        <v>0</v>
      </c>
      <c r="M92" s="26">
        <f>'附件3 规划内'!M212</f>
        <v>44409</v>
      </c>
      <c r="N92" s="26">
        <f>'附件3 规划内'!N212</f>
        <v>44469</v>
      </c>
      <c r="O92" t="str">
        <f>'附件3 规划内'!O212</f>
        <v>市教体局</v>
      </c>
      <c r="P92" t="str">
        <f>'附件3 规划内'!P212</f>
        <v>尉氏县</v>
      </c>
      <c r="Q92">
        <f>'附件3 规划内'!Q212</f>
        <v>0</v>
      </c>
      <c r="R92">
        <f>'附件3 规划内'!R212</f>
        <v>0</v>
      </c>
    </row>
    <row r="93" spans="1:18">
      <c r="A93">
        <f>'附件3 规划内'!A213</f>
        <v>197</v>
      </c>
      <c r="B93" t="str">
        <f>'附件3 规划内'!B213</f>
        <v>尉氏县庄头镇郑店小学</v>
      </c>
      <c r="C93" t="str">
        <f>'附件3 规划内'!C213</f>
        <v>教育</v>
      </c>
      <c r="D93" t="str">
        <f>'附件3 规划内'!D213</f>
        <v>计划投入资金9万元，维修加固教师辅助用房及门卫室232平方米。</v>
      </c>
      <c r="E93">
        <f>'附件3 规划内'!E213</f>
        <v>4</v>
      </c>
      <c r="F93">
        <f>'附件3 规划内'!F213</f>
        <v>4</v>
      </c>
      <c r="G93">
        <f>'附件3 规划内'!G213</f>
        <v>0</v>
      </c>
      <c r="H93">
        <f>'附件3 规划内'!H213</f>
        <v>0</v>
      </c>
      <c r="I93" t="str">
        <f>'附件3 规划内'!I213</f>
        <v>完工</v>
      </c>
      <c r="J93">
        <f>'附件3 规划内'!J213</f>
        <v>4</v>
      </c>
      <c r="K93" t="str">
        <f>'附件3 规划内'!K213</f>
        <v/>
      </c>
      <c r="L93">
        <f>'附件3 规划内'!L213</f>
        <v>0</v>
      </c>
      <c r="M93" s="26">
        <f>'附件3 规划内'!M213</f>
        <v>44409</v>
      </c>
      <c r="N93" s="26">
        <f>'附件3 规划内'!N213</f>
        <v>44469</v>
      </c>
      <c r="O93" t="str">
        <f>'附件3 规划内'!O213</f>
        <v>市教体局</v>
      </c>
      <c r="P93" t="str">
        <f>'附件3 规划内'!P213</f>
        <v>尉氏县</v>
      </c>
      <c r="Q93">
        <f>'附件3 规划内'!Q213</f>
        <v>0</v>
      </c>
      <c r="R93">
        <f>'附件3 规划内'!R213</f>
        <v>0</v>
      </c>
    </row>
    <row r="94" spans="1:18">
      <c r="A94">
        <f>'附件3 规划内'!A214</f>
        <v>197</v>
      </c>
      <c r="B94" t="str">
        <f>'附件3 规划内'!B214</f>
        <v>尉氏县洧川镇育才小学</v>
      </c>
      <c r="C94" t="str">
        <f>'附件3 规划内'!C214</f>
        <v>教育</v>
      </c>
      <c r="D94" t="str">
        <f>'附件3 规划内'!D214</f>
        <v>计划投入资金15万元，维修加固育才小学教学楼195平方米。</v>
      </c>
      <c r="E94">
        <f>'附件3 规划内'!E214</f>
        <v>1.65</v>
      </c>
      <c r="F94">
        <f>'附件3 规划内'!F214</f>
        <v>1.65</v>
      </c>
      <c r="G94">
        <f>'附件3 规划内'!G214</f>
        <v>0</v>
      </c>
      <c r="H94">
        <f>'附件3 规划内'!H214</f>
        <v>0</v>
      </c>
      <c r="I94" t="str">
        <f>'附件3 规划内'!I214</f>
        <v>完工</v>
      </c>
      <c r="J94">
        <f>'附件3 规划内'!J214</f>
        <v>1.65</v>
      </c>
      <c r="K94" t="str">
        <f>'附件3 规划内'!K214</f>
        <v/>
      </c>
      <c r="L94">
        <f>'附件3 规划内'!L214</f>
        <v>0</v>
      </c>
      <c r="M94" s="26">
        <f>'附件3 规划内'!M214</f>
        <v>44409</v>
      </c>
      <c r="N94" s="26">
        <f>'附件3 规划内'!N214</f>
        <v>44469</v>
      </c>
      <c r="O94" t="str">
        <f>'附件3 规划内'!O214</f>
        <v>市教体局</v>
      </c>
      <c r="P94" t="str">
        <f>'附件3 规划内'!P214</f>
        <v>尉氏县</v>
      </c>
      <c r="Q94">
        <f>'附件3 规划内'!Q214</f>
        <v>0</v>
      </c>
      <c r="R94">
        <f>'附件3 规划内'!R214</f>
        <v>0</v>
      </c>
    </row>
    <row r="95" spans="1:18">
      <c r="A95">
        <f>'附件3 规划内'!A215</f>
        <v>197</v>
      </c>
      <c r="B95" t="str">
        <f>'附件3 规划内'!B215</f>
        <v>尉氏县庄头镇中心学校</v>
      </c>
      <c r="C95" t="str">
        <f>'附件3 规划内'!C215</f>
        <v>教育</v>
      </c>
      <c r="D95" t="str">
        <f>'附件3 规划内'!D215</f>
        <v>计划投入资金90.4万元，维修加固8号教学楼1130平方米。</v>
      </c>
      <c r="E95">
        <f>'附件3 规划内'!E215</f>
        <v>4.3</v>
      </c>
      <c r="F95">
        <f>'附件3 规划内'!F215</f>
        <v>4.3</v>
      </c>
      <c r="G95">
        <f>'附件3 规划内'!G215</f>
        <v>0</v>
      </c>
      <c r="H95">
        <f>'附件3 规划内'!H215</f>
        <v>0</v>
      </c>
      <c r="I95" t="str">
        <f>'附件3 规划内'!I215</f>
        <v>完工</v>
      </c>
      <c r="J95">
        <f>'附件3 规划内'!J215</f>
        <v>4.3</v>
      </c>
      <c r="K95" t="str">
        <f>'附件3 规划内'!K215</f>
        <v/>
      </c>
      <c r="L95">
        <f>'附件3 规划内'!L215</f>
        <v>0</v>
      </c>
      <c r="M95" s="26">
        <f>'附件3 规划内'!M215</f>
        <v>44409</v>
      </c>
      <c r="N95" s="26">
        <f>'附件3 规划内'!N215</f>
        <v>44469</v>
      </c>
      <c r="O95" t="str">
        <f>'附件3 规划内'!O215</f>
        <v>市教体局</v>
      </c>
      <c r="P95" t="str">
        <f>'附件3 规划内'!P215</f>
        <v>尉氏县</v>
      </c>
      <c r="Q95">
        <f>'附件3 规划内'!Q215</f>
        <v>0</v>
      </c>
      <c r="R95">
        <f>'附件3 规划内'!R215</f>
        <v>0</v>
      </c>
    </row>
    <row r="96" spans="1:18">
      <c r="A96">
        <f>'附件3 规划内'!A216</f>
        <v>197</v>
      </c>
      <c r="B96" t="str">
        <f>'附件3 规划内'!B216</f>
        <v>尉氏县庄头镇文家小学</v>
      </c>
      <c r="C96" t="str">
        <f>'附件3 规划内'!C216</f>
        <v>教育</v>
      </c>
      <c r="D96" t="str">
        <f>'附件3 规划内'!D216</f>
        <v>计划投入资金69万元，维修加固北教学楼870平方米。</v>
      </c>
      <c r="E96">
        <f>'附件3 规划内'!E216</f>
        <v>1</v>
      </c>
      <c r="F96">
        <f>'附件3 规划内'!F216</f>
        <v>1</v>
      </c>
      <c r="G96">
        <f>'附件3 规划内'!G216</f>
        <v>0</v>
      </c>
      <c r="H96">
        <f>'附件3 规划内'!H216</f>
        <v>0</v>
      </c>
      <c r="I96" t="str">
        <f>'附件3 规划内'!I216</f>
        <v>完工</v>
      </c>
      <c r="J96">
        <f>'附件3 规划内'!J216</f>
        <v>1</v>
      </c>
      <c r="K96" t="str">
        <f>'附件3 规划内'!K216</f>
        <v/>
      </c>
      <c r="L96">
        <f>'附件3 规划内'!L216</f>
        <v>0</v>
      </c>
      <c r="M96" s="26">
        <f>'附件3 规划内'!M216</f>
        <v>44409</v>
      </c>
      <c r="N96" s="26">
        <f>'附件3 规划内'!N216</f>
        <v>44469</v>
      </c>
      <c r="O96" t="str">
        <f>'附件3 规划内'!O216</f>
        <v>市教体局</v>
      </c>
      <c r="P96" t="str">
        <f>'附件3 规划内'!P216</f>
        <v>尉氏县</v>
      </c>
      <c r="Q96">
        <f>'附件3 规划内'!Q216</f>
        <v>0</v>
      </c>
      <c r="R96">
        <f>'附件3 规划内'!R216</f>
        <v>0</v>
      </c>
    </row>
    <row r="97" spans="1:18">
      <c r="A97">
        <f>'附件3 规划内'!A217</f>
        <v>198</v>
      </c>
      <c r="B97" t="str">
        <f>'附件3 规划内'!B217</f>
        <v>开封市尉氏县村卫生室灾后恢复重建项目（114个）</v>
      </c>
      <c r="C97" t="str">
        <f>'附件3 规划内'!C217</f>
        <v>卫生健康</v>
      </c>
      <c r="D97" t="str">
        <f>'附件3 规划内'!D217</f>
        <v>村卫生室房屋修缮改造面积13680平方米，设施设备更新。</v>
      </c>
      <c r="E97">
        <f>'附件3 规划内'!E217</f>
        <v>2280</v>
      </c>
      <c r="F97">
        <f>'附件3 规划内'!F217</f>
        <v>10</v>
      </c>
      <c r="G97">
        <f>'附件3 规划内'!G217</f>
        <v>2270</v>
      </c>
      <c r="H97">
        <f>'附件3 规划内'!H217</f>
        <v>0</v>
      </c>
      <c r="I97" t="str">
        <f>'附件3 规划内'!I217</f>
        <v>在建</v>
      </c>
      <c r="J97">
        <f>'附件3 规划内'!J217</f>
        <v>2276</v>
      </c>
      <c r="K97">
        <f>'附件3 规划内'!K217</f>
        <v>2266</v>
      </c>
      <c r="L97" t="str">
        <f>'附件3 规划内'!L217</f>
        <v>尉氏县114所村卫生室已全部开工。其中蔡庄乡：南街、水台、刘拐、村卫生室主体完工、十八里村室、马家、石槽李、金针主体完工。张市邢庄、村室地基回填剩余村室正在施工中。</v>
      </c>
      <c r="M97" s="26">
        <f>'附件3 规划内'!M217</f>
        <v>44531</v>
      </c>
      <c r="N97" s="26">
        <f>'附件3 规划内'!N217</f>
        <v>44896</v>
      </c>
      <c r="O97" t="str">
        <f>'附件3 规划内'!O217</f>
        <v>市卫生健康委</v>
      </c>
      <c r="P97" t="str">
        <f>'附件3 规划内'!P217</f>
        <v>尉氏县</v>
      </c>
      <c r="Q97">
        <f>'附件3 规划内'!Q217</f>
        <v>20.5</v>
      </c>
      <c r="R97" t="str">
        <f>'附件3 规划内'!R217</f>
        <v>2022年12月底</v>
      </c>
    </row>
    <row r="98" spans="1:18">
      <c r="A98">
        <f>'附件3 规划内'!A218</f>
        <v>199</v>
      </c>
      <c r="B98" t="str">
        <f>'附件3 规划内'!B218</f>
        <v>开封市尉氏县乡镇卫生院灾后恢复重建项目（17个）</v>
      </c>
      <c r="C98" t="str">
        <f>'附件3 规划内'!C218</f>
        <v>卫生健康</v>
      </c>
      <c r="D98" t="str">
        <f>'附件3 规划内'!D218</f>
        <v>岗李、洧川、张市、十八里、蔡庄、蔡庄刘拐、大桥、朱曲、大营、永兴、邢庄、门楼任、小陈、南曹、大马、水坡等16个乡镇卫生院维修修缮，设备维修购置190台，庄头卫生院恢复重建。</v>
      </c>
      <c r="E98">
        <f>'附件3 规划内'!E218</f>
        <v>6750</v>
      </c>
      <c r="F98">
        <f>'附件3 规划内'!F218</f>
        <v>607</v>
      </c>
      <c r="G98">
        <f>'附件3 规划内'!G218</f>
        <v>6143</v>
      </c>
      <c r="H98">
        <f>'附件3 规划内'!H218</f>
        <v>0</v>
      </c>
      <c r="I98" t="str">
        <f>'附件3 规划内'!I218</f>
        <v>在建</v>
      </c>
      <c r="J98">
        <f>'附件3 规划内'!J218</f>
        <v>6234</v>
      </c>
      <c r="K98">
        <f>'附件3 规划内'!K218</f>
        <v>5627</v>
      </c>
      <c r="L98" t="str">
        <f>'附件3 规划内'!L218</f>
        <v>17家卫生院全部开工，已6家卫生院完成院内修缮工作。其中庄头卫生院：综合病房楼六层封顶完毕；蔡庄卫生院：正在购置空调并进行医疗设备招标。剩余乡卫生院正在推进院内修缮工作。</v>
      </c>
      <c r="M98" s="26">
        <f>'附件3 规划内'!M218</f>
        <v>44197</v>
      </c>
      <c r="N98" s="26">
        <f>'附件3 规划内'!N218</f>
        <v>44896</v>
      </c>
      <c r="O98" t="str">
        <f>'附件3 规划内'!O218</f>
        <v>市卫生健康委</v>
      </c>
      <c r="P98" t="str">
        <f>'附件3 规划内'!P218</f>
        <v>尉氏县</v>
      </c>
      <c r="Q98">
        <f>'附件3 规划内'!Q218</f>
        <v>0</v>
      </c>
      <c r="R98" t="str">
        <f>'附件3 规划内'!R218</f>
        <v>2022年12月底</v>
      </c>
    </row>
    <row r="99" spans="1:18">
      <c r="A99">
        <f>'附件3 规划内'!A219</f>
        <v>200</v>
      </c>
      <c r="B99" t="str">
        <f>'附件3 规划内'!B219</f>
        <v>开封市尉氏县疾控中心灾后恢复重建项目</v>
      </c>
      <c r="C99" t="str">
        <f>'附件3 规划内'!C219</f>
        <v>卫生健康</v>
      </c>
      <c r="D99" t="str">
        <f>'附件3 规划内'!D219</f>
        <v>后勤设备设施雨水冲刷53台、医疗设备12台、信息类设备9台、车辆受损3台。</v>
      </c>
      <c r="E99">
        <f>'附件3 规划内'!E219</f>
        <v>500</v>
      </c>
      <c r="F99">
        <f>'附件3 规划内'!F219</f>
        <v>16</v>
      </c>
      <c r="G99">
        <f>'附件3 规划内'!G219</f>
        <v>484</v>
      </c>
      <c r="H99">
        <f>'附件3 规划内'!H219</f>
        <v>0</v>
      </c>
      <c r="I99" t="str">
        <f>'附件3 规划内'!I219</f>
        <v>在建</v>
      </c>
      <c r="J99">
        <f>'附件3 规划内'!J219</f>
        <v>325</v>
      </c>
      <c r="K99">
        <f>'附件3 规划内'!K219</f>
        <v>309</v>
      </c>
      <c r="L99" t="str">
        <f>'附件3 规划内'!L219</f>
        <v>CT和心电图购买申请已获县卫健委审批正在等待上级部门批准</v>
      </c>
      <c r="M99" s="26">
        <f>'附件3 规划内'!M219</f>
        <v>44197</v>
      </c>
      <c r="N99" s="26">
        <f>'附件3 规划内'!N219</f>
        <v>44896</v>
      </c>
      <c r="O99" t="str">
        <f>'附件3 规划内'!O219</f>
        <v>市卫生健康委</v>
      </c>
      <c r="P99" t="str">
        <f>'附件3 规划内'!P219</f>
        <v>尉氏县</v>
      </c>
      <c r="Q99">
        <f>'附件3 规划内'!Q219</f>
        <v>0</v>
      </c>
      <c r="R99" t="str">
        <f>'附件3 规划内'!R219</f>
        <v>2022年12月底</v>
      </c>
    </row>
    <row r="100" spans="1:18">
      <c r="A100">
        <f>'附件3 规划内'!A220</f>
        <v>201</v>
      </c>
      <c r="B100" t="str">
        <f>'附件3 规划内'!B220</f>
        <v>开封市尉氏县120指挥中心灾后恢复重建项目</v>
      </c>
      <c r="C100" t="str">
        <f>'附件3 规划内'!C220</f>
        <v>卫生健康</v>
      </c>
      <c r="D100" t="str">
        <f>'附件3 规划内'!D220</f>
        <v>房屋漏水维修1000平方米，外墙维修3520平方米，室内漏水造成吊顶及墙地面的恢复，楼内屋面改造，视频监控维修更换，信息设备维修更换。</v>
      </c>
      <c r="E100">
        <f>'附件3 规划内'!E220</f>
        <v>500</v>
      </c>
      <c r="F100">
        <f>'附件3 规划内'!F220</f>
        <v>230</v>
      </c>
      <c r="G100">
        <f>'附件3 规划内'!G220</f>
        <v>270</v>
      </c>
      <c r="H100">
        <f>'附件3 规划内'!H220</f>
        <v>0</v>
      </c>
      <c r="I100" t="str">
        <f>'附件3 规划内'!I220</f>
        <v>在建</v>
      </c>
      <c r="J100">
        <f>'附件3 规划内'!J220</f>
        <v>450</v>
      </c>
      <c r="K100">
        <f>'附件3 规划内'!K220</f>
        <v>220</v>
      </c>
      <c r="L100" t="str">
        <f>'附件3 规划内'!L220</f>
        <v>项目已完工。</v>
      </c>
      <c r="M100" s="26">
        <f>'附件3 规划内'!M220</f>
        <v>44197</v>
      </c>
      <c r="N100" s="26">
        <f>'附件3 规划内'!N220</f>
        <v>44896</v>
      </c>
      <c r="O100" t="str">
        <f>'附件3 规划内'!O220</f>
        <v>市卫生健康委</v>
      </c>
      <c r="P100" t="str">
        <f>'附件3 规划内'!P220</f>
        <v>尉氏县</v>
      </c>
      <c r="Q100">
        <f>'附件3 规划内'!Q220</f>
        <v>0</v>
      </c>
      <c r="R100" t="str">
        <f>'附件3 规划内'!R220</f>
        <v>2022年12月底</v>
      </c>
    </row>
    <row r="101" spans="1:18">
      <c r="A101">
        <f>'附件3 规划内'!A221</f>
        <v>202</v>
      </c>
      <c r="B101" t="str">
        <f>'附件3 规划内'!B221</f>
        <v>开封市尉氏县中医院灾后恢复重建项目</v>
      </c>
      <c r="C101" t="str">
        <f>'附件3 规划内'!C221</f>
        <v>卫生健康</v>
      </c>
      <c r="D101" t="str">
        <f>'附件3 规划内'!D221</f>
        <v>门诊楼、病房、医技综合楼地基及附属设施、配电机房设施。</v>
      </c>
      <c r="E101">
        <f>'附件3 规划内'!E221</f>
        <v>800</v>
      </c>
      <c r="F101">
        <f>'附件3 规划内'!F221</f>
        <v>337</v>
      </c>
      <c r="G101">
        <f>'附件3 规划内'!G221</f>
        <v>463</v>
      </c>
      <c r="H101">
        <f>'附件3 规划内'!H221</f>
        <v>0</v>
      </c>
      <c r="I101" t="str">
        <f>'附件3 规划内'!I221</f>
        <v>在建</v>
      </c>
      <c r="J101">
        <f>'附件3 规划内'!J221</f>
        <v>690</v>
      </c>
      <c r="K101">
        <f>'附件3 规划内'!K221</f>
        <v>353</v>
      </c>
      <c r="L101" t="str">
        <f>'附件3 规划内'!L221</f>
        <v>正在进行院内路面加固</v>
      </c>
      <c r="M101" s="26">
        <f>'附件3 规划内'!M221</f>
        <v>44197</v>
      </c>
      <c r="N101" s="26">
        <f>'附件3 规划内'!N221</f>
        <v>44896</v>
      </c>
      <c r="O101" t="str">
        <f>'附件3 规划内'!O221</f>
        <v>市卫生健康委</v>
      </c>
      <c r="P101" t="str">
        <f>'附件3 规划内'!P221</f>
        <v>尉氏县</v>
      </c>
      <c r="Q101">
        <f>'附件3 规划内'!Q221</f>
        <v>0</v>
      </c>
      <c r="R101" t="str">
        <f>'附件3 规划内'!R221</f>
        <v>2022年12月底</v>
      </c>
    </row>
    <row r="102" spans="1:18">
      <c r="A102">
        <f>'附件3 规划内'!A222</f>
        <v>203</v>
      </c>
      <c r="B102" t="str">
        <f>'附件3 规划内'!B222</f>
        <v>开封市尉氏县中心医院灾后恢复重建项目</v>
      </c>
      <c r="C102" t="str">
        <f>'附件3 规划内'!C222</f>
        <v>卫生健康</v>
      </c>
      <c r="D102" t="str">
        <f>'附件3 规划内'!D222</f>
        <v>医疗设备项目：DSA数字减影设备1台、DRX线拍片机1台1、16排ct 1台、胃肠机1台、激光胶片打印机6台。</v>
      </c>
      <c r="E102">
        <f>'附件3 规划内'!E222</f>
        <v>1561.9</v>
      </c>
      <c r="F102">
        <f>'附件3 规划内'!F222</f>
        <v>440</v>
      </c>
      <c r="G102">
        <f>'附件3 规划内'!G222</f>
        <v>1121.9</v>
      </c>
      <c r="H102">
        <f>'附件3 规划内'!H222</f>
        <v>0</v>
      </c>
      <c r="I102" t="str">
        <f>'附件3 规划内'!I222</f>
        <v>在建</v>
      </c>
      <c r="J102">
        <f>'附件3 规划内'!J222</f>
        <v>1514</v>
      </c>
      <c r="K102">
        <f>'附件3 规划内'!K222</f>
        <v>1074</v>
      </c>
      <c r="L102" t="str">
        <f>'附件3 规划内'!L222</f>
        <v>已购置完成DSA、CT、救护车等设备。</v>
      </c>
      <c r="M102" s="26">
        <f>'附件3 规划内'!M222</f>
        <v>44197</v>
      </c>
      <c r="N102" s="26">
        <f>'附件3 规划内'!N222</f>
        <v>44896</v>
      </c>
      <c r="O102" t="str">
        <f>'附件3 规划内'!O222</f>
        <v>市卫生健康委</v>
      </c>
      <c r="P102" t="str">
        <f>'附件3 规划内'!P222</f>
        <v>尉氏县</v>
      </c>
      <c r="Q102">
        <f>'附件3 规划内'!Q222</f>
        <v>0</v>
      </c>
      <c r="R102" t="str">
        <f>'附件3 规划内'!R222</f>
        <v>2022年12月底</v>
      </c>
    </row>
    <row r="103" spans="1:18">
      <c r="A103">
        <f>'附件3 规划内'!A223</f>
        <v>204</v>
      </c>
      <c r="B103" t="str">
        <f>'附件3 规划内'!B223</f>
        <v>开封市尉氏县人民医院灾后恢复重建项目</v>
      </c>
      <c r="C103" t="str">
        <f>'附件3 规划内'!C223</f>
        <v>卫生健康</v>
      </c>
      <c r="D103" t="str">
        <f>'附件3 规划内'!D223</f>
        <v>房屋建筑漏水4283平方米，后勤设备受损1台。</v>
      </c>
      <c r="E103">
        <f>'附件3 规划内'!E223</f>
        <v>100</v>
      </c>
      <c r="F103">
        <f>'附件3 规划内'!F223</f>
        <v>2</v>
      </c>
      <c r="G103">
        <f>'附件3 规划内'!G223</f>
        <v>98</v>
      </c>
      <c r="H103">
        <f>'附件3 规划内'!H223</f>
        <v>0</v>
      </c>
      <c r="I103" t="str">
        <f>'附件3 规划内'!I223</f>
        <v>在建</v>
      </c>
      <c r="J103">
        <f>'附件3 规划内'!J223</f>
        <v>98.5</v>
      </c>
      <c r="K103">
        <f>'附件3 规划内'!K223</f>
        <v>96.5</v>
      </c>
      <c r="L103" t="str">
        <f>'附件3 规划内'!L223</f>
        <v>屋顶天沟维修完工。</v>
      </c>
      <c r="M103" s="26">
        <f>'附件3 规划内'!M223</f>
        <v>44531</v>
      </c>
      <c r="N103" s="26">
        <f>'附件3 规划内'!N223</f>
        <v>44896</v>
      </c>
      <c r="O103" t="str">
        <f>'附件3 规划内'!O223</f>
        <v>市卫生健康委</v>
      </c>
      <c r="P103" t="str">
        <f>'附件3 规划内'!P223</f>
        <v>尉氏县</v>
      </c>
      <c r="Q103">
        <f>'附件3 规划内'!Q223</f>
        <v>0</v>
      </c>
      <c r="R103" t="str">
        <f>'附件3 规划内'!R223</f>
        <v>2022年12月底</v>
      </c>
    </row>
    <row r="104" spans="1:18">
      <c r="A104">
        <f>'附件3 规划内'!A224</f>
        <v>205</v>
      </c>
      <c r="B104" t="str">
        <f>'附件3 规划内'!B224</f>
        <v>开封市尉氏县第二人民医院灾后恢复重建项目</v>
      </c>
      <c r="C104" t="str">
        <f>'附件3 规划内'!C224</f>
        <v>卫生健康</v>
      </c>
      <c r="D104" t="str">
        <f>'附件3 规划内'!D224</f>
        <v>房屋建筑漏水2620平方米，后勤设施设备受损8台。</v>
      </c>
      <c r="E104">
        <f>'附件3 规划内'!E224</f>
        <v>300</v>
      </c>
      <c r="F104">
        <f>'附件3 规划内'!F224</f>
        <v>14</v>
      </c>
      <c r="G104">
        <f>'附件3 规划内'!G224</f>
        <v>286</v>
      </c>
      <c r="H104">
        <f>'附件3 规划内'!H224</f>
        <v>0</v>
      </c>
      <c r="I104" t="str">
        <f>'附件3 规划内'!I224</f>
        <v>在建</v>
      </c>
      <c r="J104">
        <f>'附件3 规划内'!J224</f>
        <v>175</v>
      </c>
      <c r="K104">
        <f>'附件3 规划内'!K224</f>
        <v>161</v>
      </c>
      <c r="L104" t="str">
        <f>'附件3 规划内'!L224</f>
        <v>正在进行院墙加固。</v>
      </c>
      <c r="M104" s="26">
        <f>'附件3 规划内'!M224</f>
        <v>44531</v>
      </c>
      <c r="N104" s="26">
        <f>'附件3 规划内'!N224</f>
        <v>44896</v>
      </c>
      <c r="O104" t="str">
        <f>'附件3 规划内'!O224</f>
        <v>市卫生健康委</v>
      </c>
      <c r="P104" t="str">
        <f>'附件3 规划内'!P224</f>
        <v>尉氏县</v>
      </c>
      <c r="Q104">
        <f>'附件3 规划内'!Q224</f>
        <v>0</v>
      </c>
      <c r="R104" t="str">
        <f>'附件3 规划内'!R224</f>
        <v>2022年12月底</v>
      </c>
    </row>
    <row r="105" spans="1:18">
      <c r="A105">
        <f>'附件3 规划内'!A225</f>
        <v>206</v>
      </c>
      <c r="B105" t="str">
        <f>'附件3 规划内'!B225</f>
        <v>开封公共图书馆灾后修复重建项目</v>
      </c>
      <c r="C105" t="str">
        <f>'附件3 规划内'!C225</f>
        <v>公共文化</v>
      </c>
      <c r="D105" t="str">
        <f>'附件3 规划内'!D225</f>
        <v>尉氏县图书馆：因漏雨损毁的房顶需全部重新防水、修复室内外墙面以及脱落吊顶</v>
      </c>
      <c r="E105">
        <f>'附件3 规划内'!E225</f>
        <v>20</v>
      </c>
      <c r="F105">
        <f>'附件3 规划内'!F225</f>
        <v>2.076</v>
      </c>
      <c r="G105">
        <f>'附件3 规划内'!G225</f>
        <v>17.924</v>
      </c>
      <c r="H105">
        <f>'附件3 规划内'!H225</f>
        <v>0</v>
      </c>
      <c r="I105" t="str">
        <f>'附件3 规划内'!I225</f>
        <v>在建</v>
      </c>
      <c r="J105">
        <f>'附件3 规划内'!J225</f>
        <v>13.6759</v>
      </c>
      <c r="K105">
        <f>'附件3 规划内'!K225</f>
        <v>11.5999</v>
      </c>
      <c r="L105" t="str">
        <f>'附件3 规划内'!L225</f>
        <v>正在进行基础修复</v>
      </c>
      <c r="M105" s="26">
        <f>'附件3 规划内'!M225</f>
        <v>44500</v>
      </c>
      <c r="N105" s="26">
        <f>'附件3 规划内'!N225</f>
        <v>45261</v>
      </c>
      <c r="O105" t="str">
        <f>'附件3 规划内'!O225</f>
        <v>市文化广电旅游局</v>
      </c>
      <c r="P105" t="str">
        <f>'附件3 规划内'!P225</f>
        <v>尉氏县</v>
      </c>
      <c r="Q105">
        <f>'附件3 规划内'!Q225</f>
        <v>0</v>
      </c>
      <c r="R105" t="str">
        <f>'附件3 规划内'!R225</f>
        <v>2023年8月底前 公共图书馆</v>
      </c>
    </row>
    <row r="106" spans="1:18">
      <c r="A106">
        <f>'附件3 规划内'!A226</f>
        <v>207</v>
      </c>
      <c r="B106" t="str">
        <f>'附件3 规划内'!B226</f>
        <v>开封文化馆灾后修复重建项目</v>
      </c>
      <c r="C106" t="str">
        <f>'附件3 规划内'!C226</f>
        <v>公共文化</v>
      </c>
      <c r="D106" t="str">
        <f>'附件3 规划内'!D226</f>
        <v>尉氏县文化活动室浸水；文化馆屋顶漏水；需重新装修文化活动室，修复屋顶。</v>
      </c>
      <c r="E106">
        <f>'附件3 规划内'!E226</f>
        <v>10</v>
      </c>
      <c r="F106">
        <f>'附件3 规划内'!F226</f>
        <v>2.247</v>
      </c>
      <c r="G106">
        <f>'附件3 规划内'!G226</f>
        <v>7.753</v>
      </c>
      <c r="H106">
        <f>'附件3 规划内'!H226</f>
        <v>0</v>
      </c>
      <c r="I106" t="str">
        <f>'附件3 规划内'!I226</f>
        <v>完工</v>
      </c>
      <c r="J106">
        <f>'附件3 规划内'!J226</f>
        <v>10</v>
      </c>
      <c r="K106">
        <f>'附件3 规划内'!K226</f>
        <v>7.753</v>
      </c>
      <c r="L106">
        <f>'附件3 规划内'!L226</f>
        <v>0</v>
      </c>
      <c r="M106" s="26">
        <f>'附件3 规划内'!M226</f>
        <v>44531</v>
      </c>
      <c r="N106" s="26" t="str">
        <f>'附件3 规划内'!N226</f>
        <v>2023年12月</v>
      </c>
      <c r="O106" t="str">
        <f>'附件3 规划内'!O226</f>
        <v>市文化广电旅游局</v>
      </c>
      <c r="P106" t="str">
        <f>'附件3 规划内'!P226</f>
        <v>尉氏县</v>
      </c>
      <c r="Q106">
        <f>'附件3 规划内'!Q226</f>
        <v>0</v>
      </c>
      <c r="R106" t="str">
        <f>'附件3 规划内'!R226</f>
        <v>2023年8月底前 文化馆</v>
      </c>
    </row>
    <row r="107" spans="1:18">
      <c r="A107">
        <f>'附件3 规划内'!A227</f>
        <v>208</v>
      </c>
      <c r="B107" t="str">
        <f>'附件3 规划内'!B227</f>
        <v>开封尉氏县文化站灾后重建</v>
      </c>
      <c r="C107" t="str">
        <f>'附件3 规划内'!C227</f>
        <v>公共文化</v>
      </c>
      <c r="D107" t="str">
        <f>'附件3 规划内'!D227</f>
        <v>庄头镇文化站在暴雨中地基下陷，需要重建，建设不低于1000平方米的文化广场，主体建设不低于1000平方米，内设多功能厅，图书室，培训教室 。</v>
      </c>
      <c r="E107">
        <f>'附件3 规划内'!E227</f>
        <v>5</v>
      </c>
      <c r="F107">
        <f>'附件3 规划内'!F227</f>
        <v>0</v>
      </c>
      <c r="G107">
        <f>'附件3 规划内'!G227</f>
        <v>5</v>
      </c>
      <c r="H107">
        <f>'附件3 规划内'!H227</f>
        <v>0</v>
      </c>
      <c r="I107" t="str">
        <f>'附件3 规划内'!I227</f>
        <v>完工</v>
      </c>
      <c r="J107">
        <f>'附件3 规划内'!J227</f>
        <v>5</v>
      </c>
      <c r="K107">
        <f>'附件3 规划内'!K227</f>
        <v>5</v>
      </c>
      <c r="L107">
        <f>'附件3 规划内'!L227</f>
        <v>0</v>
      </c>
      <c r="M107" s="26">
        <f>'附件3 规划内'!M227</f>
        <v>44650</v>
      </c>
      <c r="N107" s="26" t="str">
        <f>'附件3 规划内'!N227</f>
        <v>2023年12月</v>
      </c>
      <c r="O107" t="str">
        <f>'附件3 规划内'!O227</f>
        <v>市文化广电旅游局</v>
      </c>
      <c r="P107" t="str">
        <f>'附件3 规划内'!P227</f>
        <v>尉氏县</v>
      </c>
      <c r="Q107">
        <f>'附件3 规划内'!Q227</f>
        <v>0</v>
      </c>
      <c r="R107" t="str">
        <f>'附件3 规划内'!R227</f>
        <v>2023年8月底前 文化站修复</v>
      </c>
    </row>
    <row r="108" spans="1:18">
      <c r="A108">
        <f>'附件3 规划内'!A228</f>
        <v>209</v>
      </c>
      <c r="B108" t="str">
        <f>'附件3 规划内'!B228</f>
        <v>开封尉氏县综合性文化服务中心灾后修复项目</v>
      </c>
      <c r="C108" t="str">
        <f>'附件3 规划内'!C228</f>
        <v>公共文化</v>
      </c>
      <c r="D108" t="str">
        <f>'附件3 规划内'!D228</f>
        <v>尉氏县共有295个村级文化广场在暴雨中被水淹，冲毁，需要对文化广场进行修复重建。每个文化广场建设管理用房30平方。</v>
      </c>
      <c r="E108">
        <f>'附件3 规划内'!E228</f>
        <v>295</v>
      </c>
      <c r="F108">
        <f>'附件3 规划内'!F228</f>
        <v>44</v>
      </c>
      <c r="G108">
        <f>'附件3 规划内'!G228</f>
        <v>251</v>
      </c>
      <c r="H108">
        <f>'附件3 规划内'!H228</f>
        <v>0</v>
      </c>
      <c r="I108" t="str">
        <f>'附件3 规划内'!I228</f>
        <v>完工</v>
      </c>
      <c r="J108">
        <f>'附件3 规划内'!J228</f>
        <v>295</v>
      </c>
      <c r="K108">
        <f>'附件3 规划内'!K228</f>
        <v>251</v>
      </c>
      <c r="L108">
        <f>'附件3 规划内'!L228</f>
        <v>0</v>
      </c>
      <c r="M108" s="26">
        <f>'附件3 规划内'!M228</f>
        <v>44490</v>
      </c>
      <c r="N108" s="26">
        <f>'附件3 规划内'!N228</f>
        <v>45261</v>
      </c>
      <c r="O108" t="str">
        <f>'附件3 规划内'!O228</f>
        <v>市文化广电旅游局</v>
      </c>
      <c r="P108" t="str">
        <f>'附件3 规划内'!P228</f>
        <v>尉氏县</v>
      </c>
      <c r="Q108">
        <f>'附件3 规划内'!Q228</f>
        <v>0</v>
      </c>
      <c r="R108" t="str">
        <f>'附件3 规划内'!R228</f>
        <v>2023年8月底前 综合性文化服务中心灾后修复</v>
      </c>
    </row>
    <row r="109" spans="1:18">
      <c r="A109">
        <f>'附件3 规划内'!A229</f>
        <v>210</v>
      </c>
      <c r="B109" t="str">
        <f>'附件3 规划内'!B229</f>
        <v>尉氏县综合性文化服务中心灾后重建项目</v>
      </c>
      <c r="C109" t="str">
        <f>'附件3 规划内'!C229</f>
        <v>公共文化</v>
      </c>
      <c r="D109" t="str">
        <f>'附件3 规划内'!D229</f>
        <v>暴雨中文化活动室受损严重，地基下陷，墙体开裂。每村需重建300平方的文化活动室，1000平方的文化广场；（7个村）</v>
      </c>
      <c r="E109">
        <f>'附件3 规划内'!E229</f>
        <v>21</v>
      </c>
      <c r="F109">
        <f>'附件3 规划内'!F229</f>
        <v>0</v>
      </c>
      <c r="G109">
        <f>'附件3 规划内'!G229</f>
        <v>21</v>
      </c>
      <c r="H109">
        <f>'附件3 规划内'!H229</f>
        <v>0</v>
      </c>
      <c r="I109" t="str">
        <f>'附件3 规划内'!I229</f>
        <v>完工</v>
      </c>
      <c r="J109">
        <f>'附件3 规划内'!J229</f>
        <v>21</v>
      </c>
      <c r="K109">
        <f>'附件3 规划内'!K229</f>
        <v>21</v>
      </c>
      <c r="L109">
        <f>'附件3 规划内'!L229</f>
        <v>0</v>
      </c>
      <c r="M109" s="26">
        <f>'附件3 规划内'!M229</f>
        <v>44560</v>
      </c>
      <c r="N109" s="26">
        <f>'附件3 规划内'!N229</f>
        <v>45261</v>
      </c>
      <c r="O109" t="str">
        <f>'附件3 规划内'!O229</f>
        <v>市文化广电旅游局</v>
      </c>
      <c r="P109" t="str">
        <f>'附件3 规划内'!P229</f>
        <v>尉氏县</v>
      </c>
      <c r="Q109">
        <f>'附件3 规划内'!Q229</f>
        <v>0</v>
      </c>
      <c r="R109" t="str">
        <f>'附件3 规划内'!R229</f>
        <v>2023年8月底前 综合性文化服务中心灾后重建</v>
      </c>
    </row>
    <row r="110" spans="1:18">
      <c r="A110">
        <f>'附件3 规划内'!A230</f>
        <v>211</v>
      </c>
      <c r="B110" t="str">
        <f>'附件3 规划内'!B230</f>
        <v>开封尉氏智慧书房灾后修复重建项目</v>
      </c>
      <c r="C110" t="str">
        <f>'附件3 规划内'!C230</f>
        <v>公共文化</v>
      </c>
      <c r="D110" t="str">
        <f>'附件3 规划内'!D230</f>
        <v>受暴雨影响，书房房顶渗水，地板浸泡无法使用，电线受损。</v>
      </c>
      <c r="E110">
        <f>'附件3 规划内'!E230</f>
        <v>5</v>
      </c>
      <c r="F110">
        <f>'附件3 规划内'!F230</f>
        <v>0.03</v>
      </c>
      <c r="G110">
        <f>'附件3 规划内'!G230</f>
        <v>4.97</v>
      </c>
      <c r="H110">
        <f>'附件3 规划内'!H230</f>
        <v>0</v>
      </c>
      <c r="I110" t="str">
        <f>'附件3 规划内'!I230</f>
        <v>完工</v>
      </c>
      <c r="J110">
        <f>'附件3 规划内'!J230</f>
        <v>5</v>
      </c>
      <c r="K110">
        <f>'附件3 规划内'!K230</f>
        <v>4.97</v>
      </c>
      <c r="L110" t="str">
        <f>'附件3 规划内'!L230</f>
        <v>正在进行基础修复</v>
      </c>
      <c r="M110" s="26">
        <f>'附件3 规划内'!M230</f>
        <v>44560</v>
      </c>
      <c r="N110" s="26" t="str">
        <f>'附件3 规划内'!N230</f>
        <v>2023年12月</v>
      </c>
      <c r="O110" t="str">
        <f>'附件3 规划内'!O230</f>
        <v>市文化广电旅游局</v>
      </c>
      <c r="P110" t="str">
        <f>'附件3 规划内'!P230</f>
        <v>尉氏县</v>
      </c>
      <c r="Q110">
        <f>'附件3 规划内'!Q230</f>
        <v>0</v>
      </c>
      <c r="R110" t="str">
        <f>'附件3 规划内'!R230</f>
        <v>2023年8月底前 城市书房</v>
      </c>
    </row>
    <row r="111" s="30" customFormat="1" spans="1:18">
      <c r="A111" s="30">
        <f>'附件3 规划内'!A231</f>
        <v>212</v>
      </c>
      <c r="B111" s="30" t="str">
        <f>'附件3 规划内'!B231</f>
        <v>尉氏县水毁农田新建项目</v>
      </c>
      <c r="C111" s="30" t="str">
        <f>'附件3 规划内'!C231</f>
        <v>农业</v>
      </c>
      <c r="D111" s="30" t="str">
        <f>'附件3 规划内'!D231</f>
        <v>104000亩</v>
      </c>
      <c r="E111" s="30">
        <f>'附件3 规划内'!E231</f>
        <v>16640</v>
      </c>
      <c r="F111" s="30">
        <f>'附件3 规划内'!F231</f>
        <v>0</v>
      </c>
      <c r="G111" s="30">
        <f>'附件3 规划内'!G231</f>
        <v>16640</v>
      </c>
      <c r="H111" s="30">
        <f>'附件3 规划内'!H231</f>
        <v>0</v>
      </c>
      <c r="I111" s="30" t="str">
        <f>'附件3 规划内'!I231</f>
        <v>在建</v>
      </c>
      <c r="J111" s="30">
        <f>'附件3 规划内'!J231</f>
        <v>13791</v>
      </c>
      <c r="K111" s="30">
        <f>'附件3 规划内'!K231</f>
        <v>13791</v>
      </c>
      <c r="L111" s="30">
        <f>'附件3 规划内'!L231</f>
        <v>0</v>
      </c>
      <c r="M111" s="31" t="str">
        <f>'附件3 规划内'!M231</f>
        <v>2022年6月</v>
      </c>
      <c r="N111" s="31" t="str">
        <f>'附件3 规划内'!N231</f>
        <v>2023年12月</v>
      </c>
      <c r="O111" s="30" t="str">
        <f>'附件3 规划内'!O231</f>
        <v>市农业农村局</v>
      </c>
      <c r="P111" s="30" t="str">
        <f>'附件3 规划内'!P231</f>
        <v>尉氏县</v>
      </c>
      <c r="Q111" s="30">
        <f>'附件3 规划内'!Q231</f>
        <v>0</v>
      </c>
      <c r="R111" s="30" t="str">
        <f>'附件3 规划内'!R231</f>
        <v>2022年12月底</v>
      </c>
    </row>
    <row r="112" spans="1:18">
      <c r="A112" s="27">
        <f>'附件3 规划内'!A232</f>
        <v>213</v>
      </c>
      <c r="B112" s="27" t="str">
        <f>'附件3 规划内'!B232</f>
        <v>尉氏县水毁农田重建项目</v>
      </c>
      <c r="C112" s="27" t="str">
        <f>'附件3 规划内'!C232</f>
        <v>农业</v>
      </c>
      <c r="D112" s="27" t="str">
        <f>'附件3 规划内'!D232</f>
        <v>92270亩</v>
      </c>
      <c r="E112" s="27">
        <f>'附件3 规划内'!E232</f>
        <v>14763</v>
      </c>
      <c r="F112" s="27">
        <f>'附件3 规划内'!F232</f>
        <v>0</v>
      </c>
      <c r="G112" s="27">
        <f>'附件3 规划内'!G232</f>
        <v>0</v>
      </c>
      <c r="H112" s="27">
        <f>'附件3 规划内'!H232</f>
        <v>14763.2</v>
      </c>
      <c r="I112" s="27" t="str">
        <f>'附件3 规划内'!I232</f>
        <v>在建</v>
      </c>
      <c r="J112" s="27">
        <f>'附件3 规划内'!J232</f>
        <v>13285</v>
      </c>
      <c r="K112" s="27">
        <f>'附件3 规划内'!K232</f>
        <v>13285</v>
      </c>
      <c r="L112" s="27">
        <f>'附件3 规划内'!L232</f>
        <v>0</v>
      </c>
      <c r="M112" s="28" t="str">
        <f>'附件3 规划内'!M232</f>
        <v>2023年6月</v>
      </c>
      <c r="N112" s="28" t="str">
        <f>'附件3 规划内'!N232</f>
        <v>2024年12月</v>
      </c>
      <c r="O112" s="27" t="str">
        <f>'附件3 规划内'!O232</f>
        <v>市农业农村局</v>
      </c>
      <c r="P112" s="27" t="str">
        <f>'附件3 规划内'!P232</f>
        <v>尉氏县</v>
      </c>
      <c r="Q112" s="27">
        <f>'附件3 规划内'!Q232</f>
        <v>0</v>
      </c>
      <c r="R112" s="27" t="str">
        <f>'附件3 规划内'!R232</f>
        <v>Ⅰ类，2022年6月开工</v>
      </c>
    </row>
    <row r="113" spans="1:18">
      <c r="A113" s="27">
        <f>'附件3 规划内'!A233</f>
        <v>214</v>
      </c>
      <c r="B113" s="27" t="str">
        <f>'附件3 规划内'!B233</f>
        <v>尉氏县水毁农田恢复项目</v>
      </c>
      <c r="C113" s="27" t="str">
        <f>'附件3 规划内'!C233</f>
        <v>农业</v>
      </c>
      <c r="D113" s="27" t="str">
        <f>'附件3 规划内'!D233</f>
        <v>115002亩</v>
      </c>
      <c r="E113" s="27">
        <f>'附件3 规划内'!E233</f>
        <v>5635</v>
      </c>
      <c r="F113" s="27">
        <f>'附件3 规划内'!F233</f>
        <v>5635</v>
      </c>
      <c r="G113" s="27">
        <f>'附件3 规划内'!G233</f>
        <v>0</v>
      </c>
      <c r="H113" s="27">
        <f>'附件3 规划内'!H233</f>
        <v>0</v>
      </c>
      <c r="I113" s="27" t="str">
        <f>'附件3 规划内'!I233</f>
        <v>完工</v>
      </c>
      <c r="J113" s="27">
        <f>'附件3 规划内'!J233</f>
        <v>5635</v>
      </c>
      <c r="K113" s="27">
        <f>'附件3 规划内'!K233</f>
        <v>5635</v>
      </c>
      <c r="L113" s="27">
        <f>'附件3 规划内'!L233</f>
        <v>0</v>
      </c>
      <c r="M113" s="28" t="str">
        <f>'附件3 规划内'!M233</f>
        <v>2021年9月</v>
      </c>
      <c r="N113" s="28" t="str">
        <f>'附件3 规划内'!N233</f>
        <v>2022年6月</v>
      </c>
      <c r="O113" s="27" t="str">
        <f>'附件3 规划内'!O233</f>
        <v>市农业农村局</v>
      </c>
      <c r="P113" s="27" t="str">
        <f>'附件3 规划内'!P233</f>
        <v>尉氏县</v>
      </c>
      <c r="Q113" s="27">
        <f>'附件3 规划内'!Q233</f>
        <v>0</v>
      </c>
      <c r="R113" s="27" t="str">
        <f>'附件3 规划内'!R233</f>
        <v>Ⅱ类，2022年6月底</v>
      </c>
    </row>
    <row r="114" spans="1:18">
      <c r="A114">
        <f>'附件3 规划内'!A234</f>
        <v>215</v>
      </c>
      <c r="B114" t="str">
        <f>'附件3 规划内'!B234</f>
        <v>尉氏县水毁农田应急修复项目</v>
      </c>
      <c r="C114" t="str">
        <f>'附件3 规划内'!C234</f>
        <v>农业</v>
      </c>
      <c r="D114" t="str">
        <f>'附件3 规划内'!D234</f>
        <v>40778亩</v>
      </c>
      <c r="E114">
        <f>'附件3 规划内'!E234</f>
        <v>998</v>
      </c>
      <c r="F114">
        <f>'附件3 规划内'!F234</f>
        <v>998</v>
      </c>
      <c r="G114">
        <f>'附件3 规划内'!G234</f>
        <v>0</v>
      </c>
      <c r="H114">
        <f>'附件3 规划内'!H234</f>
        <v>0</v>
      </c>
      <c r="I114" t="str">
        <f>'附件3 规划内'!I234</f>
        <v>完工</v>
      </c>
      <c r="J114">
        <f>'附件3 规划内'!J234</f>
        <v>998</v>
      </c>
      <c r="K114" t="str">
        <f>'附件3 规划内'!K234</f>
        <v/>
      </c>
      <c r="L114">
        <f>'附件3 规划内'!L234</f>
        <v>0</v>
      </c>
      <c r="M114" s="26" t="str">
        <f>'附件3 规划内'!M234</f>
        <v>2021年9月</v>
      </c>
      <c r="N114" s="26" t="str">
        <f>'附件3 规划内'!N234</f>
        <v>2021年12月</v>
      </c>
      <c r="O114" t="str">
        <f>'附件3 规划内'!O234</f>
        <v>市农业农村局</v>
      </c>
      <c r="P114" t="str">
        <f>'附件3 规划内'!P234</f>
        <v>尉氏县</v>
      </c>
      <c r="Q114">
        <f>'附件3 规划内'!Q234</f>
        <v>0</v>
      </c>
      <c r="R114" t="str">
        <f>'附件3 规划内'!R234</f>
        <v>Ⅲ类，2021年已完成</v>
      </c>
    </row>
    <row r="115" spans="1:18">
      <c r="A115">
        <f>'附件3 规划内'!A243</f>
        <v>224</v>
      </c>
      <c r="B115" t="str">
        <f>'附件3 规划内'!B243</f>
        <v>尉氏县国有林场林业基础设施重建项目</v>
      </c>
      <c r="C115" t="str">
        <f>'附件3 规划内'!C243</f>
        <v>林业</v>
      </c>
      <c r="D115" t="str">
        <f>'附件3 规划内'!D243</f>
        <v>修建房屋2500平米，修复围墙1000米，防火设备150台，病虫害防治设备70台，修复或重建其它基础设施，塌方及泥石流清理修复。</v>
      </c>
      <c r="E115">
        <f>'附件3 规划内'!E243</f>
        <v>43</v>
      </c>
      <c r="F115">
        <f>'附件3 规划内'!F243</f>
        <v>10.25</v>
      </c>
      <c r="G115">
        <f>'附件3 规划内'!G243</f>
        <v>32.75</v>
      </c>
      <c r="H115">
        <f>'附件3 规划内'!H243</f>
        <v>0</v>
      </c>
      <c r="I115" t="str">
        <f>'附件3 规划内'!I243</f>
        <v>完工</v>
      </c>
      <c r="J115">
        <f>'附件3 规划内'!J243</f>
        <v>43</v>
      </c>
      <c r="K115">
        <f>'附件3 规划内'!K243</f>
        <v>32.75</v>
      </c>
      <c r="L115">
        <f>'附件3 规划内'!L243</f>
        <v>0</v>
      </c>
      <c r="M115" s="26">
        <f>'附件3 规划内'!M243</f>
        <v>44470</v>
      </c>
      <c r="N115" s="26">
        <f>'附件3 规划内'!N243</f>
        <v>44896</v>
      </c>
      <c r="O115" t="str">
        <f>'附件3 规划内'!O243</f>
        <v>市林业局</v>
      </c>
      <c r="P115" t="str">
        <f>'附件3 规划内'!P243</f>
        <v>尉氏县</v>
      </c>
      <c r="Q115">
        <f>'附件3 规划内'!Q243</f>
        <v>0</v>
      </c>
      <c r="R115">
        <f>'附件3 规划内'!R243</f>
        <v>0</v>
      </c>
    </row>
    <row r="116" spans="1:18">
      <c r="A116">
        <f>'附件3 规划内'!A244</f>
        <v>225</v>
      </c>
      <c r="B116" t="str">
        <f>'附件3 规划内'!B244</f>
        <v>尉氏县造林灾后重建项目</v>
      </c>
      <c r="C116" t="str">
        <f>'附件3 规划内'!C244</f>
        <v>林业</v>
      </c>
      <c r="D116" t="str">
        <f>'附件3 规划内'!D244</f>
        <v>灾后重建造林、补植面积约6200亩</v>
      </c>
      <c r="E116">
        <f>'附件3 规划内'!E244</f>
        <v>1448.9</v>
      </c>
      <c r="F116">
        <f>'附件3 规划内'!F244</f>
        <v>1000</v>
      </c>
      <c r="G116">
        <f>'附件3 规划内'!G244</f>
        <v>448.9</v>
      </c>
      <c r="H116">
        <f>'附件3 规划内'!H244</f>
        <v>0</v>
      </c>
      <c r="I116" t="str">
        <f>'附件3 规划内'!I244</f>
        <v>完工</v>
      </c>
      <c r="J116">
        <f>'附件3 规划内'!J244</f>
        <v>1448.9</v>
      </c>
      <c r="K116">
        <f>'附件3 规划内'!K244</f>
        <v>448.9</v>
      </c>
      <c r="L116">
        <f>'附件3 规划内'!L244</f>
        <v>0</v>
      </c>
      <c r="M116" s="26">
        <f>'附件3 规划内'!M244</f>
        <v>44520</v>
      </c>
      <c r="N116" s="26">
        <f>'附件3 规划内'!N244</f>
        <v>44926</v>
      </c>
      <c r="O116" t="str">
        <f>'附件3 规划内'!O244</f>
        <v>市林业局</v>
      </c>
      <c r="P116" t="str">
        <f>'附件3 规划内'!P244</f>
        <v>尉氏县</v>
      </c>
      <c r="Q116">
        <f>'附件3 规划内'!Q244</f>
        <v>0</v>
      </c>
      <c r="R116" t="str">
        <f>'附件3 规划内'!R244</f>
        <v>目前，涉及林业灾后重建造林、补植的岗李乡、大营镇由于划归港区管理，无法再实施，造林总计划减少,灾后重建造林总投资为1448.9万元。</v>
      </c>
    </row>
    <row r="117" spans="1:18">
      <c r="A117">
        <f>'附件3 规划内'!A253</f>
        <v>234</v>
      </c>
      <c r="B117" t="str">
        <f>'附件3 规划内'!B253</f>
        <v>开封市尉氏县刘麦河南段水毁工程灾害恢复重建项目</v>
      </c>
      <c r="C117" t="str">
        <f>'附件3 规划内'!C253</f>
        <v>水利</v>
      </c>
      <c r="D117" t="str">
        <f>'附件3 规划内'!D253</f>
        <v>修复河道六棱砖护坡2531m，损毁道路修复3724m，护坡绿化重建12000㎡。</v>
      </c>
      <c r="E117">
        <f>'附件3 规划内'!E253</f>
        <v>1504</v>
      </c>
      <c r="F117">
        <f>'附件3 规划内'!F253</f>
        <v>0</v>
      </c>
      <c r="G117">
        <f>'附件3 规划内'!G253</f>
        <v>1504</v>
      </c>
      <c r="H117">
        <f>'附件3 规划内'!H253</f>
        <v>0</v>
      </c>
      <c r="I117" t="str">
        <f>'附件3 规划内'!I253</f>
        <v>在建</v>
      </c>
      <c r="J117">
        <f>'附件3 规划内'!J253</f>
        <v>1350</v>
      </c>
      <c r="K117">
        <f>'附件3 规划内'!K253</f>
        <v>1350</v>
      </c>
      <c r="L117">
        <f>'附件3 规划内'!L253</f>
        <v>0</v>
      </c>
      <c r="M117" s="26">
        <f>'附件3 规划内'!M253</f>
        <v>44470</v>
      </c>
      <c r="N117" s="26">
        <f>'附件3 规划内'!N253</f>
        <v>44866</v>
      </c>
      <c r="O117" t="str">
        <f>'附件3 规划内'!O253</f>
        <v>市水利局</v>
      </c>
      <c r="P117" t="str">
        <f>'附件3 规划内'!P253</f>
        <v>尉氏县</v>
      </c>
      <c r="Q117">
        <f>'附件3 规划内'!Q253</f>
        <v>0</v>
      </c>
      <c r="R117">
        <f>'附件3 规划内'!R253</f>
        <v>0</v>
      </c>
    </row>
    <row r="118" spans="1:18">
      <c r="A118">
        <f>'附件3 规划内'!A254</f>
        <v>235</v>
      </c>
      <c r="B118" t="str">
        <f>'附件3 规划内'!B254</f>
        <v>尉氏县城区积水点治理项目</v>
      </c>
      <c r="C118" t="str">
        <f>'附件3 规划内'!C254</f>
        <v>市政</v>
      </c>
      <c r="D118" t="str">
        <f>'附件3 规划内'!D254</f>
        <v>滨河东路与行政北路交叉口	改造及新增北二环雨水管道（建设路-刘麦河），双侧布置，长度1600米，管径d800-2000汽车北站西门至南门段汽车站门口增设多联雨水口4座，贯通建设路东西两侧雨水管道，设计管径d800，长度约85米尉州大道刘麦河交叉口,交叉口西北角绿化带内，建设规模2m3/s行政北路永美大公馆南门雨污水管道混错接改造，长度约200米。尉缭路建兴鸿郡北街与行政北路、北二环交叉口处管道连通，长度约220米三师附小北校区门口改造温泉路沿线雨水口约16座，沿线小区雨污分流改造。</v>
      </c>
      <c r="E118">
        <f>'附件3 规划内'!E254</f>
        <v>4668</v>
      </c>
      <c r="F118">
        <f>'附件3 规划内'!F254</f>
        <v>0</v>
      </c>
      <c r="G118">
        <f>'附件3 规划内'!G254</f>
        <v>4668</v>
      </c>
      <c r="H118">
        <f>'附件3 规划内'!H254</f>
        <v>0</v>
      </c>
      <c r="I118" t="str">
        <f>'附件3 规划内'!I254</f>
        <v>完工</v>
      </c>
      <c r="J118">
        <f>'附件3 规划内'!J254</f>
        <v>4668</v>
      </c>
      <c r="K118">
        <f>'附件3 规划内'!K254</f>
        <v>4668</v>
      </c>
      <c r="L118">
        <f>'附件3 规划内'!L254</f>
        <v>0</v>
      </c>
      <c r="M118" s="26">
        <f>'附件3 规划内'!M254</f>
        <v>44470</v>
      </c>
      <c r="N118" s="26">
        <f>'附件3 规划内'!N254</f>
        <v>44896</v>
      </c>
      <c r="O118" t="str">
        <f>'附件3 规划内'!O254</f>
        <v>市城管局</v>
      </c>
      <c r="P118" t="str">
        <f>'附件3 规划内'!P254</f>
        <v>尉氏县</v>
      </c>
      <c r="Q118">
        <f>'附件3 规划内'!Q254</f>
        <v>0</v>
      </c>
      <c r="R118">
        <f>'附件3 规划内'!R254</f>
        <v>0</v>
      </c>
    </row>
  </sheetData>
  <sheetProtection formatCells="0" formatColumns="0" formatRows="0" sort="0" autoFilter="0"/>
  <autoFilter ref="A6:AK257">
    <filterColumn colId="25">
      <filters blank="1">
        <filter val="400"/>
        <filter val="460"/>
        <filter val="361"/>
        <filter val="5"/>
        <filter val="25"/>
        <filter val="1941.8"/>
      </filters>
    </filterColumn>
    <extLst/>
  </autoFilter>
  <mergeCells count="5">
    <mergeCell ref="A1:G1"/>
    <mergeCell ref="H1:N1"/>
    <mergeCell ref="O1:U1"/>
    <mergeCell ref="A5:R5"/>
    <mergeCell ref="T5:AK5"/>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54"/>
  <sheetViews>
    <sheetView zoomScale="90" zoomScaleNormal="90" topLeftCell="P1" workbookViewId="0">
      <pane ySplit="6" topLeftCell="A16" activePane="bottomLeft" state="frozen"/>
      <selection/>
      <selection pane="bottomLeft" activeCell="U39" sqref="U39"/>
    </sheetView>
  </sheetViews>
  <sheetFormatPr defaultColWidth="9" defaultRowHeight="13.5"/>
  <cols>
    <col min="3" max="3" width="10.9083333333333" customWidth="1"/>
    <col min="6" max="6" width="9.725" customWidth="1"/>
    <col min="7" max="7" width="10.0916666666667" customWidth="1"/>
    <col min="13" max="14" width="11.9083333333333" customWidth="1"/>
    <col min="20" max="20" width="10.0916666666667" customWidth="1"/>
    <col min="25" max="25" width="10.45" customWidth="1"/>
    <col min="32" max="33" width="11.9083333333333" customWidth="1"/>
  </cols>
  <sheetData>
    <row r="1" ht="14.15" customHeight="1" spans="1:21">
      <c r="A1" s="2" t="s">
        <v>1202</v>
      </c>
      <c r="B1" s="3"/>
      <c r="C1" s="3"/>
      <c r="D1" s="3"/>
      <c r="E1" s="3"/>
      <c r="F1" s="3"/>
      <c r="G1" s="4"/>
      <c r="H1" s="5" t="s">
        <v>1203</v>
      </c>
      <c r="I1" s="5"/>
      <c r="J1" s="5"/>
      <c r="K1" s="5"/>
      <c r="L1" s="5"/>
      <c r="M1" s="5"/>
      <c r="N1" s="37"/>
      <c r="O1" s="16" t="s">
        <v>1203</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86</v>
      </c>
      <c r="C3" s="10">
        <f t="shared" ref="C3:F4" si="0">J3+Q3</f>
        <v>517363.4429</v>
      </c>
      <c r="D3" s="10">
        <f t="shared" si="0"/>
        <v>86</v>
      </c>
      <c r="E3" s="10">
        <f t="shared" si="0"/>
        <v>69</v>
      </c>
      <c r="F3" s="10">
        <f t="shared" si="0"/>
        <v>468627.2529</v>
      </c>
      <c r="G3" s="11">
        <f>IF(C3=0,"-",ROUND(F3/C3,3))</f>
        <v>0.906</v>
      </c>
      <c r="H3" s="8" t="s">
        <v>1146</v>
      </c>
      <c r="I3" s="17">
        <f>COUNT(E7:E122)</f>
        <v>48</v>
      </c>
      <c r="J3" s="21">
        <f>SUM(E7:E122)</f>
        <v>68545.5049</v>
      </c>
      <c r="K3" s="21">
        <f>COUNTIF(I7:I122,"在建")+COUNTIF(I7:I122,"完工")</f>
        <v>48</v>
      </c>
      <c r="L3" s="21">
        <f>COUNTIF(I7:I122,"完工")</f>
        <v>45</v>
      </c>
      <c r="M3" s="17">
        <f>SUM(J7:J122)</f>
        <v>57827.5049</v>
      </c>
      <c r="N3" s="22">
        <f>IF(J3=0,"-",ROUND(M3/J3,3))</f>
        <v>0.844</v>
      </c>
      <c r="O3" s="19" t="s">
        <v>1146</v>
      </c>
      <c r="P3" s="20">
        <f>COUNT(X7:X122)+9</f>
        <v>38</v>
      </c>
      <c r="Q3" s="24">
        <f>SUM(X7:X122)</f>
        <v>448817.938</v>
      </c>
      <c r="R3" s="24">
        <f>COUNTIF(AB7:AB122,"在建")+COUNTIF(AB7:AB122,"完工")+9</f>
        <v>38</v>
      </c>
      <c r="S3" s="24">
        <f>COUNTIF(AB7:AB122,"完工")+9</f>
        <v>24</v>
      </c>
      <c r="T3" s="20">
        <f>SUM(AC7:AC122)</f>
        <v>410799.748</v>
      </c>
      <c r="U3" s="25">
        <f>IF(Q3=0,"-",ROUND(T3/Q3,3))</f>
        <v>0.915</v>
      </c>
    </row>
    <row r="4" ht="27" spans="1:21">
      <c r="A4" s="9" t="s">
        <v>1147</v>
      </c>
      <c r="B4" s="10">
        <f>I4+P4</f>
        <v>48</v>
      </c>
      <c r="C4" s="10">
        <f t="shared" si="0"/>
        <v>332781.788</v>
      </c>
      <c r="D4" s="10">
        <f t="shared" si="0"/>
        <v>48</v>
      </c>
      <c r="E4" s="10">
        <f t="shared" si="0"/>
        <v>31</v>
      </c>
      <c r="F4" s="10">
        <f t="shared" si="0"/>
        <v>351310.588</v>
      </c>
      <c r="G4" s="12">
        <f>IF(C4=0,"-",ROUND(F4/C4,3))</f>
        <v>1.056</v>
      </c>
      <c r="H4" s="8" t="s">
        <v>1147</v>
      </c>
      <c r="I4" s="17">
        <f>COUNTIF(G7:G122,"&gt;0")</f>
        <v>12</v>
      </c>
      <c r="J4" s="21">
        <f>SUM(G7:G122)</f>
        <v>61032.5</v>
      </c>
      <c r="K4" s="21">
        <f>COUNTIFS(G7:G122,"&gt;0",I7:I122,"完工")+COUNTIFS(G7:G122,"&gt;0",I7:I122,"在建")</f>
        <v>12</v>
      </c>
      <c r="L4" s="21">
        <f>COUNTIFS(G7:G122,"&gt;0",I7:I122,"完工")</f>
        <v>9</v>
      </c>
      <c r="M4" s="17">
        <f>SUM(K7:K122)</f>
        <v>50314.5</v>
      </c>
      <c r="N4" s="22">
        <f>IF(J4=0,"-",ROUND(M4/J4,3))</f>
        <v>0.824</v>
      </c>
      <c r="O4" s="19" t="s">
        <v>1147</v>
      </c>
      <c r="P4" s="20">
        <f>COUNTIF(Z7:Z122,"&gt;0")+9</f>
        <v>36</v>
      </c>
      <c r="Q4" s="24">
        <f>SUM(Z7:Z122)</f>
        <v>271749.288</v>
      </c>
      <c r="R4" s="24">
        <f>COUNTIFS(Z7:Z122,"&gt;0",AB7:AB122,"完工")+COUNTIFS(Z7:Z122,"&gt;0",AB7:AB122,"在建")+IF(AB10&lt;&gt;"未开工",9,0)</f>
        <v>36</v>
      </c>
      <c r="S4" s="24">
        <f>COUNTIFS(Z7:Z122,"&gt;0",AB7:AB122,"完工")+IF(AB10="完工",9,0)</f>
        <v>22</v>
      </c>
      <c r="T4" s="20">
        <f>SUM(AD7:AD122)</f>
        <v>300996.088</v>
      </c>
      <c r="U4" s="25">
        <f>IF(Q4=0,"-",ROUND(T4/Q4,3))</f>
        <v>1.108</v>
      </c>
    </row>
    <row r="5" s="1" customFormat="1" spans="1:37">
      <c r="A5" s="13" t="s">
        <v>1204</v>
      </c>
      <c r="B5" s="14"/>
      <c r="C5" s="14"/>
      <c r="D5" s="14"/>
      <c r="E5" s="14"/>
      <c r="F5" s="14"/>
      <c r="G5" s="14"/>
      <c r="H5" s="14"/>
      <c r="I5" s="14"/>
      <c r="J5" s="14"/>
      <c r="K5" s="14"/>
      <c r="L5" s="14"/>
      <c r="M5" s="14"/>
      <c r="N5" s="14"/>
      <c r="O5" s="14"/>
      <c r="P5" s="14"/>
      <c r="Q5" s="14"/>
      <c r="R5" s="36"/>
      <c r="T5" s="13" t="s">
        <v>1205</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规划内'!A5</f>
        <v>4</v>
      </c>
      <c r="B7" t="str">
        <f>'附件3 规划内'!B5</f>
        <v>祥符区村民住房重建</v>
      </c>
      <c r="C7" t="str">
        <f>'附件3 规划内'!C5</f>
        <v>城乡住房</v>
      </c>
      <c r="D7" t="str">
        <f>'附件3 规划内'!D5</f>
        <v>修缮加固88户、原址重建76户</v>
      </c>
      <c r="E7">
        <f>'附件3 规划内'!E5</f>
        <v>219.0049</v>
      </c>
      <c r="F7">
        <f>'附件3 规划内'!F5</f>
        <v>219.0049</v>
      </c>
      <c r="G7">
        <f>'附件3 规划内'!G5</f>
        <v>0</v>
      </c>
      <c r="H7">
        <f>'附件3 规划内'!H5</f>
        <v>0</v>
      </c>
      <c r="I7" t="str">
        <f>'附件3 规划内'!I5</f>
        <v>完工</v>
      </c>
      <c r="J7">
        <f>'附件3 规划内'!J5</f>
        <v>219.0049</v>
      </c>
      <c r="K7" t="str">
        <f>'附件3 规划内'!K5</f>
        <v/>
      </c>
      <c r="L7">
        <f>'附件3 规划内'!L5</f>
        <v>0</v>
      </c>
      <c r="M7" s="26">
        <f>'附件3 规划内'!M5</f>
        <v>0</v>
      </c>
      <c r="N7" s="26">
        <f>'附件3 规划内'!N5</f>
        <v>0</v>
      </c>
      <c r="O7" t="str">
        <f>'附件3 规划内'!O5</f>
        <v>市住房城乡建设局</v>
      </c>
      <c r="P7" t="str">
        <f>'附件3 规划内'!P5</f>
        <v>祥符区</v>
      </c>
      <c r="Q7">
        <f>'附件3 规划内'!Q5</f>
        <v>0</v>
      </c>
      <c r="R7">
        <f>'附件3 规划内'!R5</f>
        <v>0</v>
      </c>
      <c r="T7">
        <f>'附件4 规划外'!A13</f>
        <v>12</v>
      </c>
      <c r="U7" t="str">
        <f>'附件4 规划外'!B13</f>
        <v>河南省开封市祥符区铁底河治理工程</v>
      </c>
      <c r="V7" t="str">
        <f>'附件4 规划外'!C13</f>
        <v>水利</v>
      </c>
      <c r="W7" t="str">
        <f>'附件4 规划外'!D13</f>
        <v>本次治理范围15+690（开通县界）～0+000（惠济河口）。治理河段清淤15.69km（桩号15+690～0+000）。重建跨河桥梁12座，重建进水闸1座，新建进水闸2座。</v>
      </c>
      <c r="X7">
        <f>'附件4 规划外'!E13</f>
        <v>1432</v>
      </c>
      <c r="Y7">
        <f>'附件4 规划外'!F13</f>
        <v>0</v>
      </c>
      <c r="Z7">
        <f>'附件4 规划外'!G13</f>
        <v>1432</v>
      </c>
      <c r="AA7">
        <f>'附件4 规划外'!H13</f>
        <v>0</v>
      </c>
      <c r="AB7" t="str">
        <f>'附件4 规划外'!I13</f>
        <v>完工</v>
      </c>
      <c r="AC7">
        <f>'附件4 规划外'!J13</f>
        <v>1432</v>
      </c>
      <c r="AD7">
        <f>'附件4 规划外'!K13</f>
        <v>1432</v>
      </c>
      <c r="AE7" t="str">
        <f>'附件4 规划外'!L13</f>
        <v>已完成</v>
      </c>
      <c r="AF7" s="26">
        <f>'附件4 规划外'!M13</f>
        <v>44501</v>
      </c>
      <c r="AG7" s="26">
        <f>'附件4 规划外'!N13</f>
        <v>44682</v>
      </c>
      <c r="AH7" t="str">
        <f>'附件4 规划外'!O13</f>
        <v>市水利局</v>
      </c>
      <c r="AI7" t="str">
        <f>'附件4 规划外'!P13</f>
        <v>祥符区</v>
      </c>
      <c r="AJ7">
        <f>'附件4 规划外'!Q13</f>
        <v>0</v>
      </c>
      <c r="AK7">
        <f>'附件4 规划外'!R13</f>
        <v>0</v>
      </c>
    </row>
    <row r="8" spans="1:37">
      <c r="A8">
        <f>'附件3 规划内'!A19</f>
        <v>18</v>
      </c>
      <c r="B8" t="str">
        <f>'附件3 规划内'!B19</f>
        <v>惠济河</v>
      </c>
      <c r="C8" t="str">
        <f>'附件3 规划内'!C19</f>
        <v>水利</v>
      </c>
      <c r="D8" t="str">
        <f>'附件3 规划内'!D19</f>
        <v>土方回填，重新筑堤</v>
      </c>
      <c r="E8">
        <f>'附件3 规划内'!E19</f>
        <v>40</v>
      </c>
      <c r="F8">
        <f>'附件3 规划内'!F19</f>
        <v>0</v>
      </c>
      <c r="G8">
        <f>'附件3 规划内'!G19</f>
        <v>40</v>
      </c>
      <c r="H8">
        <f>'附件3 规划内'!H19</f>
        <v>0</v>
      </c>
      <c r="I8" t="str">
        <f>'附件3 规划内'!I19</f>
        <v>完工</v>
      </c>
      <c r="J8">
        <f>'附件3 规划内'!J19</f>
        <v>40</v>
      </c>
      <c r="K8">
        <f>'附件3 规划内'!K19</f>
        <v>40</v>
      </c>
      <c r="L8">
        <f>'附件3 规划内'!L19</f>
        <v>0</v>
      </c>
      <c r="M8" s="26">
        <f>'附件3 规划内'!M19</f>
        <v>44520</v>
      </c>
      <c r="N8" s="26">
        <f>'附件3 规划内'!N19</f>
        <v>44696</v>
      </c>
      <c r="O8" t="str">
        <f>'附件3 规划内'!O19</f>
        <v>市水利局</v>
      </c>
      <c r="P8" t="str">
        <f>'附件3 规划内'!P19</f>
        <v>祥符区</v>
      </c>
      <c r="Q8">
        <f>'附件3 规划内'!Q19</f>
        <v>0</v>
      </c>
      <c r="R8">
        <f>'附件3 规划内'!R19</f>
        <v>0</v>
      </c>
      <c r="T8">
        <f>'附件4 规划外'!A14</f>
        <v>14</v>
      </c>
      <c r="U8" t="str">
        <f>'附件4 规划外'!B14</f>
        <v>开封市祥符区惠济河生态治理项目</v>
      </c>
      <c r="V8" t="str">
        <f>'附件4 规划外'!C14</f>
        <v>水利</v>
      </c>
      <c r="W8" t="str">
        <f>'附件4 规划外'!D14</f>
        <v>堤防修筑、景观、绿化河道清淤、生态堤坝和驳岸工程和配套湿地建设等。</v>
      </c>
      <c r="X8">
        <f>'附件4 规划外'!E14</f>
        <v>53200</v>
      </c>
      <c r="Y8">
        <f>'附件4 规划外'!F14</f>
        <v>0</v>
      </c>
      <c r="Z8">
        <f>'附件4 规划外'!G14</f>
        <v>53200</v>
      </c>
      <c r="AA8">
        <f>'附件4 规划外'!H14</f>
        <v>0</v>
      </c>
      <c r="AB8" t="str">
        <f>'附件4 规划外'!I14</f>
        <v>在建</v>
      </c>
      <c r="AC8">
        <f>'附件4 规划外'!J14</f>
        <v>52700</v>
      </c>
      <c r="AD8">
        <f>'附件4 规划外'!K14</f>
        <v>52700</v>
      </c>
      <c r="AE8" t="str">
        <f>'附件4 规划外'!L14</f>
        <v>正在实施</v>
      </c>
      <c r="AF8" s="26">
        <f>'附件4 规划外'!M14</f>
        <v>44409</v>
      </c>
      <c r="AG8" s="26">
        <f>'附件4 规划外'!N14</f>
        <v>44896</v>
      </c>
      <c r="AH8" t="str">
        <f>'附件4 规划外'!O14</f>
        <v>市水利局</v>
      </c>
      <c r="AI8" t="str">
        <f>'附件4 规划外'!P14</f>
        <v>祥符区</v>
      </c>
      <c r="AJ8">
        <f>'附件4 规划外'!Q14</f>
        <v>0</v>
      </c>
      <c r="AK8">
        <f>'附件4 规划外'!R14</f>
        <v>0</v>
      </c>
    </row>
    <row r="9" spans="1:37">
      <c r="A9">
        <f>'附件3 规划内'!A20</f>
        <v>19</v>
      </c>
      <c r="B9" t="str">
        <f>'附件3 规划内'!B20</f>
        <v>丈八沟</v>
      </c>
      <c r="C9" t="str">
        <f>'附件3 规划内'!C20</f>
        <v>水利</v>
      </c>
      <c r="D9" t="str">
        <f>'附件3 规划内'!D20</f>
        <v>李店西南河道左岸堤防水毁修复1500米（1处）</v>
      </c>
      <c r="E9">
        <f>'附件3 规划内'!E20</f>
        <v>100</v>
      </c>
      <c r="F9">
        <f>'附件3 规划内'!F20</f>
        <v>40</v>
      </c>
      <c r="G9">
        <f>'附件3 规划内'!G20</f>
        <v>60</v>
      </c>
      <c r="H9">
        <f>'附件3 规划内'!H20</f>
        <v>0</v>
      </c>
      <c r="I9" t="str">
        <f>'附件3 规划内'!I20</f>
        <v>完工</v>
      </c>
      <c r="J9">
        <f>'附件3 规划内'!J20</f>
        <v>100</v>
      </c>
      <c r="K9">
        <f>'附件3 规划内'!K20</f>
        <v>60</v>
      </c>
      <c r="L9">
        <f>'附件3 规划内'!L20</f>
        <v>0</v>
      </c>
      <c r="M9" s="26">
        <f>'附件3 规划内'!M20</f>
        <v>44520</v>
      </c>
      <c r="N9" s="26">
        <f>'附件3 规划内'!N20</f>
        <v>44696</v>
      </c>
      <c r="O9" t="str">
        <f>'附件3 规划内'!O20</f>
        <v>市水利局</v>
      </c>
      <c r="P9" t="str">
        <f>'附件3 规划内'!P20</f>
        <v>祥符区</v>
      </c>
      <c r="Q9">
        <f>'附件3 规划内'!Q20</f>
        <v>0</v>
      </c>
      <c r="R9">
        <f>'附件3 规划内'!R20</f>
        <v>0</v>
      </c>
      <c r="T9">
        <f>'附件4 规划外'!A15</f>
        <v>15</v>
      </c>
      <c r="U9" t="str">
        <f>'附件4 规划外'!B15</f>
        <v>惠济河（大广高速-开杞路段）治理工程项目</v>
      </c>
      <c r="V9" t="str">
        <f>'附件4 规划外'!C15</f>
        <v>水利</v>
      </c>
      <c r="W9" t="str">
        <f>'附件4 规划外'!D15</f>
        <v>建设包含河堤行道树 1540 株，路肩绿化 15386 ㎡，堤坝坡面绿化 115395 ㎡，滩地绿化 415422 ㎡，公共卫生间 6 个，驿站节点 2400 ㎡，灯具310 盏，给水 7693m。建设包括道路 38465 ㎡，路堤土方 161285m³，滩地提升393000m³，河道清淤 613080m³。建设内容包含道路提升 1600m，道路两侧绿化提升3200m，建筑民俗、小吃街改建 30 个，观光节点 10 个，林果采摘 150100㎡。</v>
      </c>
      <c r="X9">
        <f>'附件4 规划外'!E15</f>
        <v>13846.2</v>
      </c>
      <c r="Y9">
        <f>'附件4 规划外'!F15</f>
        <v>0</v>
      </c>
      <c r="Z9">
        <f>'附件4 规划外'!G15</f>
        <v>13846.2</v>
      </c>
      <c r="AA9">
        <f>'附件4 规划外'!H15</f>
        <v>0</v>
      </c>
      <c r="AB9" t="str">
        <f>'附件4 规划外'!I15</f>
        <v>在建</v>
      </c>
      <c r="AC9">
        <f>'附件4 规划外'!J15</f>
        <v>12600</v>
      </c>
      <c r="AD9">
        <f>'附件4 规划外'!K15</f>
        <v>12600</v>
      </c>
      <c r="AE9" t="str">
        <f>'附件4 规划外'!L15</f>
        <v>正在实施</v>
      </c>
      <c r="AF9" s="26">
        <f>'附件4 规划外'!M15</f>
        <v>44470</v>
      </c>
      <c r="AG9" s="26">
        <f>'附件4 规划外'!N15</f>
        <v>44743</v>
      </c>
      <c r="AH9" t="str">
        <f>'附件4 规划外'!O15</f>
        <v>市水利局</v>
      </c>
      <c r="AI9" t="str">
        <f>'附件4 规划外'!P15</f>
        <v>祥符区</v>
      </c>
      <c r="AJ9">
        <f>'附件4 规划外'!Q15</f>
        <v>0</v>
      </c>
      <c r="AK9">
        <f>'附件4 规划外'!R15</f>
        <v>0</v>
      </c>
    </row>
    <row r="10" spans="1:37">
      <c r="A10">
        <f>'附件3 规划内'!A39</f>
        <v>38</v>
      </c>
      <c r="B10" t="str">
        <f>'附件3 规划内'!B39</f>
        <v>赵口灌区西干渠</v>
      </c>
      <c r="C10" t="str">
        <f>'附件3 规划内'!C39</f>
        <v>水利</v>
      </c>
      <c r="D10" t="str">
        <f>'附件3 规划内'!D39</f>
        <v>右岸9.2km堤防堤外坡滑坡沉陷，堤顶道路开裂损毁。左岸6km堤防堤外坡滑坡沉陷，出水口冲毁，闸门严重变形。堤防加固，拆除老砼堤顶道路，重新铺筑砼堤顶道路，重建2孔闸门</v>
      </c>
      <c r="E10">
        <f>'附件3 规划内'!E39</f>
        <v>847.5</v>
      </c>
      <c r="F10">
        <f>'附件3 规划内'!F39</f>
        <v>0</v>
      </c>
      <c r="G10">
        <f>'附件3 规划内'!G39</f>
        <v>847.5</v>
      </c>
      <c r="H10">
        <f>'附件3 规划内'!H39</f>
        <v>0</v>
      </c>
      <c r="I10" t="str">
        <f>'附件3 规划内'!I39</f>
        <v>完工</v>
      </c>
      <c r="J10">
        <f>'附件3 规划内'!J39</f>
        <v>847.5</v>
      </c>
      <c r="K10">
        <f>'附件3 规划内'!K39</f>
        <v>847.5</v>
      </c>
      <c r="L10">
        <f>'附件3 规划内'!L39</f>
        <v>0</v>
      </c>
      <c r="M10" s="26">
        <f>'附件3 规划内'!M39</f>
        <v>44553</v>
      </c>
      <c r="N10" s="26">
        <f>'附件3 规划内'!N39</f>
        <v>44682</v>
      </c>
      <c r="O10" t="str">
        <f>'附件3 规划内'!O39</f>
        <v>市水利局</v>
      </c>
      <c r="P10" t="str">
        <f>'附件3 规划内'!P39</f>
        <v>祥符区</v>
      </c>
      <c r="Q10">
        <f>'附件3 规划内'!Q39</f>
        <v>0</v>
      </c>
      <c r="R10">
        <f>'附件3 规划内'!R39</f>
        <v>0</v>
      </c>
      <c r="T10" s="27" t="str">
        <f>'附件4 规划外'!A26</f>
        <v>26-35</v>
      </c>
      <c r="U10" s="27" t="str">
        <f>'附件4 规划外'!B26</f>
        <v>开封市祥符区第一批预安排项目改建工程（10条路）</v>
      </c>
      <c r="V10" s="27" t="str">
        <f>'附件4 规划外'!C26</f>
        <v>交通</v>
      </c>
      <c r="W10" s="27" t="str">
        <f>'附件4 规划外'!D26</f>
        <v>10条村道分别为：半坡店乡牌坊王、老庄至南张庄、陈留镇刘伍楼至五里砦至范庄、陈留镇朱庄、仇楼镇高庄、杜良乡大门寨至武堂、罗王镇二郞庙、曲兴镇洪山庙（小丁）至开兰路、朱仙镇西木鱼寺、罗王镇闫店村。 共计16.063公里包含：路基工程、路面工程</v>
      </c>
      <c r="X10" s="27">
        <f>'附件4 规划外'!E26</f>
        <v>1445.66</v>
      </c>
      <c r="Y10" s="27">
        <f>'附件4 规划外'!F26</f>
        <v>1445.66</v>
      </c>
      <c r="Z10" s="27">
        <f>'附件4 规划外'!G26</f>
        <v>0</v>
      </c>
      <c r="AA10" s="27">
        <f>'附件4 规划外'!H26</f>
        <v>0</v>
      </c>
      <c r="AB10" s="27" t="str">
        <f>'附件4 规划外'!I26</f>
        <v>完工</v>
      </c>
      <c r="AC10" s="27">
        <f>'附件4 规划外'!J26</f>
        <v>1445.66</v>
      </c>
      <c r="AD10" s="27" t="str">
        <f>'附件4 规划外'!K26</f>
        <v/>
      </c>
      <c r="AE10" s="27" t="str">
        <f>'附件4 规划外'!L26</f>
        <v>完工</v>
      </c>
      <c r="AF10" s="28">
        <f>'附件4 规划外'!M26</f>
        <v>44440</v>
      </c>
      <c r="AG10" s="28">
        <f>'附件4 规划外'!N26</f>
        <v>44531</v>
      </c>
      <c r="AH10" s="27" t="str">
        <f>'附件4 规划外'!O26</f>
        <v>市交通运输局</v>
      </c>
      <c r="AI10" s="27" t="str">
        <f>'附件4 规划外'!P26</f>
        <v>祥符区</v>
      </c>
      <c r="AJ10" s="27">
        <f>'附件4 规划外'!Q26</f>
        <v>0</v>
      </c>
      <c r="AK10" s="27">
        <f>'附件4 规划外'!R26</f>
        <v>0</v>
      </c>
    </row>
    <row r="11" spans="1:37">
      <c r="A11">
        <f>'附件3 规划内'!A40</f>
        <v>39</v>
      </c>
      <c r="B11" t="str">
        <f>'附件3 规划内'!B40</f>
        <v>赵口灌区东三干</v>
      </c>
      <c r="C11" t="str">
        <f>'附件3 规划内'!C40</f>
        <v>水利</v>
      </c>
      <c r="D11" t="str">
        <f>'附件3 规划内'!D40</f>
        <v>右岸堤防堤外坡滑坡沉陷，堤顶道路开裂损毁。左岸堤防堤外坡滑坡沉陷。堤防加固，拆除老砼堤顶道路，重新铺筑砼堤顶道路</v>
      </c>
      <c r="E11">
        <f>'附件3 规划内'!E40</f>
        <v>368</v>
      </c>
      <c r="F11">
        <f>'附件3 规划内'!F40</f>
        <v>0</v>
      </c>
      <c r="G11">
        <f>'附件3 规划内'!G40</f>
        <v>368</v>
      </c>
      <c r="H11">
        <f>'附件3 规划内'!H40</f>
        <v>0</v>
      </c>
      <c r="I11" t="str">
        <f>'附件3 规划内'!I40</f>
        <v>完工</v>
      </c>
      <c r="J11">
        <f>'附件3 规划内'!J40</f>
        <v>368</v>
      </c>
      <c r="K11">
        <f>'附件3 规划内'!K40</f>
        <v>368</v>
      </c>
      <c r="L11">
        <f>'附件3 规划内'!L40</f>
        <v>0</v>
      </c>
      <c r="M11" s="26">
        <f>'附件3 规划内'!M40</f>
        <v>44553</v>
      </c>
      <c r="N11" s="26">
        <f>'附件3 规划内'!N40</f>
        <v>44682</v>
      </c>
      <c r="O11" t="str">
        <f>'附件3 规划内'!O40</f>
        <v>市水利局</v>
      </c>
      <c r="P11" t="str">
        <f>'附件3 规划内'!P40</f>
        <v>祥符区</v>
      </c>
      <c r="Q11">
        <f>'附件3 规划内'!Q40</f>
        <v>0</v>
      </c>
      <c r="R11">
        <f>'附件3 规划内'!R40</f>
        <v>0</v>
      </c>
      <c r="T11">
        <f>'附件4 规划外'!A60</f>
        <v>70</v>
      </c>
      <c r="U11" t="str">
        <f>'附件4 规划外'!B60</f>
        <v>祥符区老城区灾后受损道路、排水、桥涵、河坡、泵站、闸门等配套基础设施项目</v>
      </c>
      <c r="V11" t="str">
        <f>'附件4 规划外'!C60</f>
        <v>市政</v>
      </c>
      <c r="W11" t="str">
        <f>'附件4 规划外'!D60</f>
        <v>1、修复河坡、河沿水淹冲毁3500米，河底冲入淤泥0.4米；2、修复桥涵4座，闸门3座，泵站1座，3、修复围挡喷淋倒塌800米，路床水淹1600平方米，电力管进水和泥沙，雨污水管进泥沙。4、修复排水管网3500米。5受损道路修复80000平方米。6、受损绿化修复。</v>
      </c>
      <c r="X11">
        <f>'附件4 规划外'!E60</f>
        <v>5000</v>
      </c>
      <c r="Y11">
        <f>'附件4 规划外'!F60</f>
        <v>1000</v>
      </c>
      <c r="Z11">
        <f>'附件4 规划外'!G60</f>
        <v>2500</v>
      </c>
      <c r="AA11">
        <f>'附件4 规划外'!H60</f>
        <v>1500</v>
      </c>
      <c r="AB11" t="str">
        <f>'附件4 规划外'!I60</f>
        <v>在建</v>
      </c>
      <c r="AC11">
        <f>'附件4 规划外'!J60</f>
        <v>4830</v>
      </c>
      <c r="AD11">
        <f>'附件4 规划外'!K60</f>
        <v>3830</v>
      </c>
      <c r="AE11" t="str">
        <f>'附件4 规划外'!L60</f>
        <v>完成工程量90%</v>
      </c>
      <c r="AF11" s="26">
        <f>'附件4 规划外'!M60</f>
        <v>44440</v>
      </c>
      <c r="AG11" s="26">
        <f>'附件4 规划外'!N60</f>
        <v>45139</v>
      </c>
      <c r="AH11" t="str">
        <f>'附件4 规划外'!O60</f>
        <v>市城管局</v>
      </c>
      <c r="AI11" t="str">
        <f>'附件4 规划外'!P60</f>
        <v>祥符区</v>
      </c>
      <c r="AJ11">
        <f>'附件4 规划外'!Q60</f>
        <v>0</v>
      </c>
      <c r="AK11">
        <f>'附件4 规划外'!R60</f>
        <v>0</v>
      </c>
    </row>
    <row r="12" spans="1:37">
      <c r="A12">
        <f>'附件3 规划内'!A41</f>
        <v>40</v>
      </c>
      <c r="B12" t="str">
        <f>'附件3 规划内'!B41</f>
        <v>赵口灌区东三干与涡河连接段</v>
      </c>
      <c r="C12" t="str">
        <f>'附件3 规划内'!C41</f>
        <v>水利</v>
      </c>
      <c r="D12" t="str">
        <f>'附件3 规划内'!D41</f>
        <v>退水闸出水口浆砌石护坡冲毁，1100m河底冲涮超深0.7-1.2m，左、右岸护坡冲毁塌陷100块500m。退水闸出水口浆砌石护坡维修，1.1看km河底土方回填、衬砌，左、右岸护坡维修。</v>
      </c>
      <c r="E12">
        <f>'附件3 规划内'!E41</f>
        <v>166</v>
      </c>
      <c r="F12">
        <f>'附件3 规划内'!F41</f>
        <v>0</v>
      </c>
      <c r="G12">
        <f>'附件3 规划内'!G41</f>
        <v>166</v>
      </c>
      <c r="H12">
        <f>'附件3 规划内'!H41</f>
        <v>0</v>
      </c>
      <c r="I12" t="str">
        <f>'附件3 规划内'!I41</f>
        <v>完工</v>
      </c>
      <c r="J12">
        <f>'附件3 规划内'!J41</f>
        <v>166</v>
      </c>
      <c r="K12">
        <f>'附件3 规划内'!K41</f>
        <v>166</v>
      </c>
      <c r="L12">
        <f>'附件3 规划内'!L41</f>
        <v>0</v>
      </c>
      <c r="M12" s="26">
        <f>'附件3 规划内'!M41</f>
        <v>44553</v>
      </c>
      <c r="N12" s="26">
        <f>'附件3 规划内'!N41</f>
        <v>44682</v>
      </c>
      <c r="O12" t="str">
        <f>'附件3 规划内'!O41</f>
        <v>市水利局</v>
      </c>
      <c r="P12" t="str">
        <f>'附件3 规划内'!P41</f>
        <v>祥符区</v>
      </c>
      <c r="Q12">
        <f>'附件3 规划内'!Q41</f>
        <v>0</v>
      </c>
      <c r="R12">
        <f>'附件3 规划内'!R41</f>
        <v>0</v>
      </c>
      <c r="T12">
        <f>'附件4 规划外'!A61</f>
        <v>71</v>
      </c>
      <c r="U12" t="str">
        <f>'附件4 规划外'!B61</f>
        <v>祥符区城市河道治理工程</v>
      </c>
      <c r="V12" t="str">
        <f>'附件4 规划外'!C61</f>
        <v>市政</v>
      </c>
      <c r="W12" t="str">
        <f>'附件4 规划外'!D61</f>
        <v>1、祥符区李太沟长3000米，河道清淤疏浚、河坡修复、桥涵改造修复、污水截流、绿化。2、祥符区黄石沟长2000米，河道清淤疏浚、河坡修复、桥涵改造。3、祥符区泄水渠长4000米，河道清淤疏浚、河坡修复、桥涵改造</v>
      </c>
      <c r="X12">
        <f>'附件4 规划外'!E61</f>
        <v>4150</v>
      </c>
      <c r="Y12">
        <f>'附件4 规划外'!F61</f>
        <v>1200</v>
      </c>
      <c r="Z12">
        <f>'附件4 规划外'!G61</f>
        <v>1000</v>
      </c>
      <c r="AA12">
        <f>'附件4 规划外'!H61</f>
        <v>1950</v>
      </c>
      <c r="AB12" t="str">
        <f>'附件4 规划外'!I61</f>
        <v>在建</v>
      </c>
      <c r="AC12">
        <f>'附件4 规划外'!J61</f>
        <v>3950</v>
      </c>
      <c r="AD12">
        <f>'附件4 规划外'!K61</f>
        <v>2750</v>
      </c>
      <c r="AE12" t="str">
        <f>'附件4 规划外'!L61</f>
        <v>完成工程量92%</v>
      </c>
      <c r="AF12" s="26">
        <f>'附件4 规划外'!M61</f>
        <v>44256</v>
      </c>
      <c r="AG12" s="26">
        <f>'附件4 规划外'!N61</f>
        <v>45139</v>
      </c>
      <c r="AH12" t="str">
        <f>'附件4 规划外'!O61</f>
        <v>市城管局</v>
      </c>
      <c r="AI12" t="str">
        <f>'附件4 规划外'!P61</f>
        <v>祥符区</v>
      </c>
      <c r="AJ12">
        <f>'附件4 规划外'!Q61</f>
        <v>0</v>
      </c>
      <c r="AK12">
        <f>'附件4 规划外'!R61</f>
        <v>0</v>
      </c>
    </row>
    <row r="13" spans="1:37">
      <c r="A13">
        <f>'附件3 规划内'!A76</f>
        <v>75</v>
      </c>
      <c r="B13" t="str">
        <f>'附件3 规划内'!B76</f>
        <v>X013半坡店-朱仙镇</v>
      </c>
      <c r="C13" t="str">
        <f>'附件3 规划内'!C76</f>
        <v>交通</v>
      </c>
      <c r="D13" t="str">
        <f>'附件3 规划内'!D76</f>
        <v>恢复重建道路21.13公里</v>
      </c>
      <c r="E13">
        <f>'附件3 规划内'!E76</f>
        <v>13730</v>
      </c>
      <c r="F13">
        <f>'附件3 规划内'!F76</f>
        <v>2899</v>
      </c>
      <c r="G13">
        <f>'附件3 规划内'!G76</f>
        <v>10831</v>
      </c>
      <c r="H13">
        <f>'附件3 规划内'!H76</f>
        <v>0</v>
      </c>
      <c r="I13" t="str">
        <f>'附件3 规划内'!I76</f>
        <v>在建</v>
      </c>
      <c r="J13">
        <f>'附件3 规划内'!J76</f>
        <v>10700</v>
      </c>
      <c r="K13">
        <f>'附件3 规划内'!K76</f>
        <v>7801</v>
      </c>
      <c r="L13">
        <f>'附件3 规划内'!L76</f>
        <v>0</v>
      </c>
      <c r="M13" s="26">
        <f>'附件3 规划内'!M76</f>
        <v>44470</v>
      </c>
      <c r="N13" s="26">
        <f>'附件3 规划内'!N76</f>
        <v>44926</v>
      </c>
      <c r="O13" t="str">
        <f>'附件3 规划内'!O76</f>
        <v>市交通运输局</v>
      </c>
      <c r="P13" t="str">
        <f>'附件3 规划内'!P76</f>
        <v>祥符区</v>
      </c>
      <c r="Q13">
        <f>'附件3 规划内'!Q76</f>
        <v>0</v>
      </c>
      <c r="R13" t="str">
        <f>'附件3 规划内'!R76</f>
        <v>2022年12月底 农村公路</v>
      </c>
      <c r="T13">
        <f>'附件4 规划外'!A62</f>
        <v>72</v>
      </c>
      <c r="U13" t="str">
        <f>'附件4 规划外'!B62</f>
        <v>祥符区市政道路、雨污水改建、新建项目</v>
      </c>
      <c r="V13" t="str">
        <f>'附件4 规划外'!C62</f>
        <v>市政</v>
      </c>
      <c r="W13" t="str">
        <f>'附件4 规划外'!D62</f>
        <v>开封市祥符区新村路改造工程、纬三路道路排水工程（科教大道-经二路）、县府北街工程（北一环-县府大街）、园区路工程、中学路道路工程、纬七路治理工程、东环路（310-开杞路）道路排水工程、经四路道路排水工程等道路建设。</v>
      </c>
      <c r="X13">
        <f>'附件4 规划外'!E62</f>
        <v>226849</v>
      </c>
      <c r="Y13">
        <f>'附件4 规划外'!F62</f>
        <v>74709</v>
      </c>
      <c r="Z13">
        <f>'附件4 规划外'!G62</f>
        <v>122140</v>
      </c>
      <c r="AA13">
        <f>'附件4 规划外'!H62</f>
        <v>30000</v>
      </c>
      <c r="AB13" t="str">
        <f>'附件4 规划外'!I62</f>
        <v>在建</v>
      </c>
      <c r="AC13">
        <f>'附件4 规划外'!J62</f>
        <v>205154</v>
      </c>
      <c r="AD13">
        <f>'附件4 规划外'!K62</f>
        <v>130445</v>
      </c>
      <c r="AE13" t="str">
        <f>'附件4 规划外'!L62</f>
        <v>完成工程量90%</v>
      </c>
      <c r="AF13" s="26">
        <f>'附件4 规划外'!M62</f>
        <v>44287</v>
      </c>
      <c r="AG13" s="26">
        <f>'附件4 规划外'!N62</f>
        <v>45139</v>
      </c>
      <c r="AH13" t="str">
        <f>'附件4 规划外'!O62</f>
        <v>市城管局</v>
      </c>
      <c r="AI13" t="str">
        <f>'附件4 规划外'!P62</f>
        <v>祥符区</v>
      </c>
      <c r="AJ13">
        <f>'附件4 规划外'!Q62</f>
        <v>0</v>
      </c>
      <c r="AK13">
        <f>'附件4 规划外'!R62</f>
        <v>0</v>
      </c>
    </row>
    <row r="14" spans="1:37">
      <c r="A14">
        <f>'附件3 规划内'!A77</f>
        <v>76</v>
      </c>
      <c r="B14" t="str">
        <f>'附件3 规划内'!B77</f>
        <v>Y006魏沈线</v>
      </c>
      <c r="C14" t="str">
        <f>'附件3 规划内'!C77</f>
        <v>交通</v>
      </c>
      <c r="D14" t="str">
        <f>'附件3 规划内'!D77</f>
        <v>恢复重建道路5.4公里</v>
      </c>
      <c r="E14">
        <f>'附件3 规划内'!E77</f>
        <v>1791</v>
      </c>
      <c r="F14">
        <f>'附件3 规划内'!F77</f>
        <v>128</v>
      </c>
      <c r="G14">
        <f>'附件3 规划内'!G77</f>
        <v>1663</v>
      </c>
      <c r="H14">
        <f>'附件3 规划内'!H77</f>
        <v>0</v>
      </c>
      <c r="I14" t="str">
        <f>'附件3 规划内'!I77</f>
        <v>在建</v>
      </c>
      <c r="J14">
        <f>'附件3 规划内'!J77</f>
        <v>1760</v>
      </c>
      <c r="K14">
        <f>'附件3 规划内'!K77</f>
        <v>1632</v>
      </c>
      <c r="L14">
        <f>'附件3 规划内'!L77</f>
        <v>0</v>
      </c>
      <c r="M14" s="26">
        <f>'附件3 规划内'!M77</f>
        <v>44523</v>
      </c>
      <c r="N14" s="26">
        <f>'附件3 规划内'!N77</f>
        <v>44926</v>
      </c>
      <c r="O14" t="str">
        <f>'附件3 规划内'!O77</f>
        <v>市交通运输局</v>
      </c>
      <c r="P14" t="str">
        <f>'附件3 规划内'!P77</f>
        <v>祥符区</v>
      </c>
      <c r="Q14">
        <f>'附件3 规划内'!Q77</f>
        <v>0</v>
      </c>
      <c r="R14" t="str">
        <f>'附件3 规划内'!R77</f>
        <v>2022年12月底 农村公路</v>
      </c>
      <c r="T14">
        <f>'附件4 规划外'!A63</f>
        <v>73</v>
      </c>
      <c r="U14" t="str">
        <f>'附件4 规划外'!B63</f>
        <v>开封市祥符区黄龙园区道路照明设施修复治理工程</v>
      </c>
      <c r="V14" t="str">
        <f>'附件4 规划外'!C63</f>
        <v>市政</v>
      </c>
      <c r="W14" t="str">
        <f>'附件4 规划外'!D63</f>
        <v>道路路灯、变压器、电缆</v>
      </c>
      <c r="X14">
        <f>'附件4 规划外'!E63</f>
        <v>4000</v>
      </c>
      <c r="Y14">
        <f>'附件4 规划外'!F63</f>
        <v>0</v>
      </c>
      <c r="Z14">
        <f>'附件4 规划外'!G63</f>
        <v>2000</v>
      </c>
      <c r="AA14">
        <f>'附件4 规划外'!H63</f>
        <v>2000</v>
      </c>
      <c r="AB14" t="str">
        <f>'附件4 规划外'!I63</f>
        <v>在建</v>
      </c>
      <c r="AC14">
        <f>'附件4 规划外'!J63</f>
        <v>3885</v>
      </c>
      <c r="AD14">
        <f>'附件4 规划外'!K63</f>
        <v>3885</v>
      </c>
      <c r="AE14" t="str">
        <f>'附件4 规划外'!L63</f>
        <v>完成工程量92%</v>
      </c>
      <c r="AF14" s="26">
        <f>'附件4 规划外'!M63</f>
        <v>44593</v>
      </c>
      <c r="AG14" s="26">
        <f>'附件4 规划外'!N63</f>
        <v>44986</v>
      </c>
      <c r="AH14" t="str">
        <f>'附件4 规划外'!O63</f>
        <v>市城管局</v>
      </c>
      <c r="AI14" t="str">
        <f>'附件4 规划外'!P63</f>
        <v>祥符区</v>
      </c>
      <c r="AJ14">
        <f>'附件4 规划外'!Q63</f>
        <v>0</v>
      </c>
      <c r="AK14">
        <f>'附件4 规划外'!R63</f>
        <v>0</v>
      </c>
    </row>
    <row r="15" spans="1:37">
      <c r="A15">
        <f>'附件3 规划内'!A78</f>
        <v>77</v>
      </c>
      <c r="B15" t="str">
        <f>'附件3 规划内'!B78</f>
        <v>念张-郭厂村</v>
      </c>
      <c r="C15" t="str">
        <f>'附件3 规划内'!C78</f>
        <v>交通</v>
      </c>
      <c r="D15" t="str">
        <f>'附件3 规划内'!D78</f>
        <v>恢复重建道路3.9公里</v>
      </c>
      <c r="E15">
        <f>'附件3 规划内'!E78</f>
        <v>1338</v>
      </c>
      <c r="F15">
        <f>'附件3 规划内'!F78</f>
        <v>225</v>
      </c>
      <c r="G15">
        <f>'附件3 规划内'!G78</f>
        <v>1113</v>
      </c>
      <c r="H15">
        <f>'附件3 规划内'!H78</f>
        <v>0</v>
      </c>
      <c r="I15" t="str">
        <f>'附件3 规划内'!I78</f>
        <v>完工</v>
      </c>
      <c r="J15">
        <f>'附件3 规划内'!J78</f>
        <v>1338</v>
      </c>
      <c r="K15">
        <f>'附件3 规划内'!K78</f>
        <v>1113</v>
      </c>
      <c r="L15">
        <f>'附件3 规划内'!L78</f>
        <v>0</v>
      </c>
      <c r="M15" s="26">
        <f>'附件3 规划内'!M78</f>
        <v>44523</v>
      </c>
      <c r="N15" s="26">
        <f>'附件3 规划内'!N78</f>
        <v>44926</v>
      </c>
      <c r="O15" t="str">
        <f>'附件3 规划内'!O78</f>
        <v>市交通运输局</v>
      </c>
      <c r="P15" t="str">
        <f>'附件3 规划内'!P78</f>
        <v>祥符区</v>
      </c>
      <c r="Q15">
        <f>'附件3 规划内'!Q78</f>
        <v>0</v>
      </c>
      <c r="R15" t="str">
        <f>'附件3 规划内'!R78</f>
        <v>2022年12月底 农村公路</v>
      </c>
      <c r="T15">
        <f>'附件4 规划外'!A64</f>
        <v>74</v>
      </c>
      <c r="U15" t="str">
        <f>'附件4 规划外'!B64</f>
        <v>祥符区冲塌、沉陷道路排水修复</v>
      </c>
      <c r="V15" t="str">
        <f>'附件4 规划外'!C64</f>
        <v>市政</v>
      </c>
      <c r="W15" t="str">
        <f>'附件4 规划外'!D64</f>
        <v>修复路面沉陷破损，慢车道、下水道</v>
      </c>
      <c r="X15">
        <f>'附件4 规划外'!E64</f>
        <v>3500</v>
      </c>
      <c r="Y15">
        <f>'附件4 规划外'!F64</f>
        <v>0</v>
      </c>
      <c r="Z15">
        <f>'附件4 规划外'!G64</f>
        <v>2000</v>
      </c>
      <c r="AA15">
        <f>'附件4 规划外'!H64</f>
        <v>1500</v>
      </c>
      <c r="AB15" t="str">
        <f>'附件4 规划外'!I64</f>
        <v>完工</v>
      </c>
      <c r="AC15">
        <f>'附件4 规划外'!J64</f>
        <v>3500</v>
      </c>
      <c r="AD15">
        <f>'附件4 规划外'!K64</f>
        <v>3500</v>
      </c>
      <c r="AE15" t="str">
        <f>'附件4 规划外'!L64</f>
        <v>完工</v>
      </c>
      <c r="AF15" s="26">
        <f>'附件4 规划外'!M64</f>
        <v>44593</v>
      </c>
      <c r="AG15" s="26">
        <f>'附件4 规划外'!N64</f>
        <v>45139</v>
      </c>
      <c r="AH15" t="str">
        <f>'附件4 规划外'!O64</f>
        <v>市城管局</v>
      </c>
      <c r="AI15" t="str">
        <f>'附件4 规划外'!P64</f>
        <v>祥符区</v>
      </c>
      <c r="AJ15">
        <f>'附件4 规划外'!Q64</f>
        <v>0</v>
      </c>
      <c r="AK15">
        <f>'附件4 规划外'!R64</f>
        <v>0</v>
      </c>
    </row>
    <row r="16" spans="1:37">
      <c r="A16">
        <f>'附件3 规划内'!A79</f>
        <v>78</v>
      </c>
      <c r="B16" t="str">
        <f>'附件3 规划内'!B79</f>
        <v>陈八路</v>
      </c>
      <c r="C16" t="str">
        <f>'附件3 规划内'!C79</f>
        <v>交通</v>
      </c>
      <c r="D16" t="str">
        <f>'附件3 规划内'!D79</f>
        <v>恢复重建道路10.9公里</v>
      </c>
      <c r="E16">
        <f>'附件3 规划内'!E79</f>
        <v>4266</v>
      </c>
      <c r="F16">
        <f>'附件3 规划内'!F79</f>
        <v>145</v>
      </c>
      <c r="G16">
        <f>'附件3 规划内'!G79</f>
        <v>4121</v>
      </c>
      <c r="H16">
        <f>'附件3 规划内'!H79</f>
        <v>0</v>
      </c>
      <c r="I16" t="str">
        <f>'附件3 规划内'!I79</f>
        <v>完工</v>
      </c>
      <c r="J16">
        <f>'附件3 规划内'!J79</f>
        <v>4266</v>
      </c>
      <c r="K16">
        <f>'附件3 规划内'!K79</f>
        <v>4121</v>
      </c>
      <c r="L16">
        <f>'附件3 规划内'!L79</f>
        <v>0</v>
      </c>
      <c r="M16" s="26">
        <f>'附件3 规划内'!M79</f>
        <v>44523</v>
      </c>
      <c r="N16" s="26">
        <f>'附件3 规划内'!N79</f>
        <v>44926</v>
      </c>
      <c r="O16" t="str">
        <f>'附件3 规划内'!O79</f>
        <v>市交通运输局</v>
      </c>
      <c r="P16" t="str">
        <f>'附件3 规划内'!P79</f>
        <v>祥符区</v>
      </c>
      <c r="Q16">
        <f>'附件3 规划内'!Q79</f>
        <v>0</v>
      </c>
      <c r="R16" t="str">
        <f>'附件3 规划内'!R79</f>
        <v>2022年12月底 农村公路</v>
      </c>
      <c r="T16">
        <f>'附件4 规划外'!A65</f>
        <v>75</v>
      </c>
      <c r="U16" t="str">
        <f>'附件4 规划外'!B65</f>
        <v>开封祥符区弱电强电入地项目</v>
      </c>
      <c r="V16" t="str">
        <f>'附件4 规划外'!C65</f>
        <v>市政</v>
      </c>
      <c r="W16" t="str">
        <f>'附件4 规划外'!D65</f>
        <v>建设街交叉口、生产街、园区路等道路改造线路迁改。</v>
      </c>
      <c r="X16">
        <f>'附件4 规划外'!E65</f>
        <v>35632</v>
      </c>
      <c r="Y16">
        <f>'附件4 规划外'!F65</f>
        <v>15382</v>
      </c>
      <c r="Z16">
        <f>'附件4 规划外'!G65</f>
        <v>16000</v>
      </c>
      <c r="AA16">
        <f>'附件4 规划外'!H65</f>
        <v>4250</v>
      </c>
      <c r="AB16" t="str">
        <f>'附件4 规划外'!I65</f>
        <v>在建</v>
      </c>
      <c r="AC16">
        <f>'附件4 规划外'!J65</f>
        <v>32607</v>
      </c>
      <c r="AD16">
        <f>'附件4 规划外'!K65</f>
        <v>17225</v>
      </c>
      <c r="AE16" t="str">
        <f>'附件4 规划外'!L65</f>
        <v>完成工程量91%</v>
      </c>
      <c r="AF16" s="26">
        <f>'附件4 规划外'!M65</f>
        <v>44256</v>
      </c>
      <c r="AG16" s="26">
        <f>'附件4 规划外'!N65</f>
        <v>45139</v>
      </c>
      <c r="AH16" t="str">
        <f>'附件4 规划外'!O65</f>
        <v>市城管局</v>
      </c>
      <c r="AI16" t="str">
        <f>'附件4 规划外'!P65</f>
        <v>祥符区</v>
      </c>
      <c r="AJ16">
        <f>'附件4 规划外'!Q65</f>
        <v>0</v>
      </c>
      <c r="AK16">
        <f>'附件4 规划外'!R65</f>
        <v>0</v>
      </c>
    </row>
    <row r="17" spans="1:37">
      <c r="A17">
        <f>'附件3 规划内'!A80</f>
        <v>79</v>
      </c>
      <c r="B17" t="str">
        <f>'附件3 规划内'!B80</f>
        <v>东刘线东里村段恢复重建</v>
      </c>
      <c r="C17" t="str">
        <f>'附件3 规划内'!C80</f>
        <v>交通</v>
      </c>
      <c r="D17" t="str">
        <f>'附件3 规划内'!D80</f>
        <v>恢复重建道路2.213公里</v>
      </c>
      <c r="E17">
        <f>'附件3 规划内'!E80</f>
        <v>219</v>
      </c>
      <c r="F17">
        <f>'附件3 规划内'!F80</f>
        <v>219</v>
      </c>
      <c r="G17">
        <f>'附件3 规划内'!G80</f>
        <v>0</v>
      </c>
      <c r="H17">
        <f>'附件3 规划内'!H80</f>
        <v>0</v>
      </c>
      <c r="I17" t="str">
        <f>'附件3 规划内'!I80</f>
        <v>完工</v>
      </c>
      <c r="J17">
        <f>'附件3 规划内'!J80</f>
        <v>219</v>
      </c>
      <c r="K17" t="str">
        <f>'附件3 规划内'!K80</f>
        <v/>
      </c>
      <c r="L17">
        <f>'附件3 规划内'!L80</f>
        <v>0</v>
      </c>
      <c r="M17" s="26">
        <f>'附件3 规划内'!M80</f>
        <v>44523</v>
      </c>
      <c r="N17" s="26">
        <f>'附件3 规划内'!N80</f>
        <v>44558</v>
      </c>
      <c r="O17" t="str">
        <f>'附件3 规划内'!O80</f>
        <v>市交通运输局</v>
      </c>
      <c r="P17" t="str">
        <f>'附件3 规划内'!P80</f>
        <v>祥符区</v>
      </c>
      <c r="Q17">
        <f>'附件3 规划内'!Q80</f>
        <v>0</v>
      </c>
      <c r="R17" t="str">
        <f>'附件3 规划内'!R80</f>
        <v>2021年已建成</v>
      </c>
      <c r="T17">
        <f>'附件4 规划外'!A66</f>
        <v>76</v>
      </c>
      <c r="U17" t="str">
        <f>'附件4 规划外'!B66</f>
        <v>开封市祥符区停车场项目</v>
      </c>
      <c r="V17" t="str">
        <f>'附件4 规划外'!C66</f>
        <v>市政</v>
      </c>
      <c r="W17" t="str">
        <f>'附件4 规划外'!D66</f>
        <v>停车车位及设施配建</v>
      </c>
      <c r="X17">
        <f>'附件4 规划外'!E66</f>
        <v>12381.95</v>
      </c>
      <c r="Y17">
        <f>'附件4 规划外'!F66</f>
        <v>0</v>
      </c>
      <c r="Z17">
        <f>'附件4 规划外'!G66</f>
        <v>6200</v>
      </c>
      <c r="AA17">
        <f>'附件4 规划外'!H66</f>
        <v>6181.95</v>
      </c>
      <c r="AB17" t="str">
        <f>'附件4 规划外'!I66</f>
        <v>在建</v>
      </c>
      <c r="AC17">
        <f>'附件4 规划外'!J66</f>
        <v>10965</v>
      </c>
      <c r="AD17">
        <f>'附件4 规划外'!K66</f>
        <v>10965</v>
      </c>
      <c r="AE17" t="str">
        <f>'附件4 规划外'!L66</f>
        <v>完成工程量92%</v>
      </c>
      <c r="AF17" s="26">
        <f>'附件4 规划外'!M66</f>
        <v>44440</v>
      </c>
      <c r="AG17" s="26">
        <f>'附件4 规划外'!N66</f>
        <v>45139</v>
      </c>
      <c r="AH17" t="str">
        <f>'附件4 规划外'!O66</f>
        <v>市城管局</v>
      </c>
      <c r="AI17" t="str">
        <f>'附件4 规划外'!P66</f>
        <v>祥符区</v>
      </c>
      <c r="AJ17">
        <f>'附件4 规划外'!Q66</f>
        <v>0</v>
      </c>
      <c r="AK17">
        <f>'附件4 规划外'!R66</f>
        <v>0</v>
      </c>
    </row>
    <row r="18" spans="1:37">
      <c r="A18">
        <f>'附件3 规划内'!A82</f>
        <v>81</v>
      </c>
      <c r="B18" t="str">
        <f>'附件3 规划内'!B82</f>
        <v>祥符区通村公路恢复重建项目</v>
      </c>
      <c r="C18" t="str">
        <f>'附件3 规划内'!C82</f>
        <v>交通</v>
      </c>
      <c r="D18" t="str">
        <f>'附件3 规划内'!D82</f>
        <v>恢复重建道路20公里</v>
      </c>
      <c r="E18">
        <f>'附件3 规划内'!E82</f>
        <v>2000</v>
      </c>
      <c r="F18">
        <f>'附件3 规划内'!F82</f>
        <v>300</v>
      </c>
      <c r="G18">
        <f>'附件3 规划内'!G82</f>
        <v>1700</v>
      </c>
      <c r="H18">
        <f>'附件3 规划内'!H82</f>
        <v>0</v>
      </c>
      <c r="I18" t="str">
        <f>'附件3 规划内'!I82</f>
        <v>完工</v>
      </c>
      <c r="J18">
        <f>'附件3 规划内'!J82</f>
        <v>2000</v>
      </c>
      <c r="K18">
        <f>'附件3 规划内'!K82</f>
        <v>1700</v>
      </c>
      <c r="L18">
        <f>'附件3 规划内'!L82</f>
        <v>0</v>
      </c>
      <c r="M18" s="26">
        <f>'附件3 规划内'!M82</f>
        <v>44523</v>
      </c>
      <c r="N18" s="26">
        <f>'附件3 规划内'!N82</f>
        <v>44926</v>
      </c>
      <c r="O18" t="str">
        <f>'附件3 规划内'!O82</f>
        <v>市交通运输局</v>
      </c>
      <c r="P18" t="str">
        <f>'附件3 规划内'!P82</f>
        <v>祥符区</v>
      </c>
      <c r="Q18">
        <f>'附件3 规划内'!Q82</f>
        <v>0</v>
      </c>
      <c r="R18" t="str">
        <f>'附件3 规划内'!R82</f>
        <v>2022年12月底 农村公路</v>
      </c>
      <c r="T18">
        <f>'附件4 规划外'!A67</f>
        <v>77</v>
      </c>
      <c r="U18" t="str">
        <f>'附件4 规划外'!B67</f>
        <v>黄龙河生态治理项目</v>
      </c>
      <c r="V18" t="str">
        <f>'附件4 规划外'!C67</f>
        <v>市政</v>
      </c>
      <c r="W18" t="str">
        <f>'附件4 规划外'!D67</f>
        <v>黄龙湖公园建设，黄龙河河道及岸线周边建设。</v>
      </c>
      <c r="X18">
        <f>'附件4 规划外'!E67</f>
        <v>11898.04</v>
      </c>
      <c r="Y18">
        <f>'附件4 规划外'!F67</f>
        <v>0</v>
      </c>
      <c r="Z18">
        <f>'附件4 规划外'!G67</f>
        <v>6000</v>
      </c>
      <c r="AA18">
        <f>'附件4 规划外'!H67</f>
        <v>5898.04</v>
      </c>
      <c r="AB18" t="str">
        <f>'附件4 规划外'!I67</f>
        <v>在建</v>
      </c>
      <c r="AC18">
        <f>'附件4 规划外'!J67</f>
        <v>11237</v>
      </c>
      <c r="AD18">
        <f>'附件4 规划外'!K67</f>
        <v>11237</v>
      </c>
      <c r="AE18" t="str">
        <f>'附件4 规划外'!L67</f>
        <v>完成工程量92%</v>
      </c>
      <c r="AF18" s="26">
        <f>'附件4 规划外'!M67</f>
        <v>44621</v>
      </c>
      <c r="AG18" s="26">
        <f>'附件4 规划外'!N67</f>
        <v>45139</v>
      </c>
      <c r="AH18" t="str">
        <f>'附件4 规划外'!O67</f>
        <v>市城管局</v>
      </c>
      <c r="AI18" t="str">
        <f>'附件4 规划外'!P67</f>
        <v>祥符区</v>
      </c>
      <c r="AJ18">
        <f>'附件4 规划外'!Q67</f>
        <v>0</v>
      </c>
      <c r="AK18">
        <f>'附件4 规划外'!R67</f>
        <v>0</v>
      </c>
    </row>
    <row r="19" spans="1:37">
      <c r="A19">
        <f>'附件3 规划内'!A124</f>
        <v>123</v>
      </c>
      <c r="B19" t="str">
        <f>'附件3 规划内'!B124</f>
        <v>2019年陈留镇十里铺村贫困村提升工程村内道路</v>
      </c>
      <c r="C19" t="str">
        <f>'附件3 规划内'!C124</f>
        <v>乡村振兴</v>
      </c>
      <c r="D19" t="str">
        <f>'附件3 规划内'!D124</f>
        <v>通村道路0.5公里</v>
      </c>
      <c r="E19">
        <f>'附件3 规划内'!E124</f>
        <v>4</v>
      </c>
      <c r="F19">
        <f>'附件3 规划内'!F124</f>
        <v>4</v>
      </c>
      <c r="G19">
        <f>'附件3 规划内'!G124</f>
        <v>0</v>
      </c>
      <c r="H19">
        <f>'附件3 规划内'!H124</f>
        <v>0</v>
      </c>
      <c r="I19" t="str">
        <f>'附件3 规划内'!I124</f>
        <v>完工</v>
      </c>
      <c r="J19">
        <f>'附件3 规划内'!J124</f>
        <v>4</v>
      </c>
      <c r="K19" t="str">
        <f>'附件3 规划内'!K124</f>
        <v/>
      </c>
      <c r="L19">
        <f>'附件3 规划内'!L124</f>
        <v>0</v>
      </c>
      <c r="M19" s="26">
        <f>'附件3 规划内'!M124</f>
        <v>44440</v>
      </c>
      <c r="N19" s="26">
        <f>'附件3 规划内'!N124</f>
        <v>44499</v>
      </c>
      <c r="O19" t="str">
        <f>'附件3 规划内'!O124</f>
        <v>市乡村振兴局</v>
      </c>
      <c r="P19" t="str">
        <f>'附件3 规划内'!P124</f>
        <v>祥符区</v>
      </c>
      <c r="Q19">
        <f>'附件3 规划内'!Q124</f>
        <v>0</v>
      </c>
      <c r="R19">
        <f>'附件3 规划内'!R124</f>
        <v>0</v>
      </c>
      <c r="T19">
        <f>'附件4 规划外'!A68</f>
        <v>78</v>
      </c>
      <c r="U19" t="str">
        <f>'附件4 规划外'!B68</f>
        <v>开封市祥符区城区集中供热管网建设项目</v>
      </c>
      <c r="V19" t="str">
        <f>'附件4 规划外'!C68</f>
        <v>市政</v>
      </c>
      <c r="W19" t="str">
        <f>'附件4 规划外'!D68</f>
        <v>新建高温热水管网50.55km、54座水-水换热站。</v>
      </c>
      <c r="X19">
        <f>'附件4 规划外'!E68</f>
        <v>22028</v>
      </c>
      <c r="Y19">
        <f>'附件4 规划外'!F68</f>
        <v>4500</v>
      </c>
      <c r="Z19">
        <f>'附件4 规划外'!G68</f>
        <v>11000</v>
      </c>
      <c r="AA19">
        <f>'附件4 规划外'!H68</f>
        <v>6528</v>
      </c>
      <c r="AB19" t="str">
        <f>'附件4 规划外'!I68</f>
        <v>在建</v>
      </c>
      <c r="AC19">
        <f>'附件4 规划外'!J68</f>
        <v>20785</v>
      </c>
      <c r="AD19">
        <f>'附件4 规划外'!K68</f>
        <v>16285</v>
      </c>
      <c r="AE19" t="str">
        <f>'附件4 规划外'!L68</f>
        <v>完成工程量91%</v>
      </c>
      <c r="AF19" s="26">
        <f>'附件4 规划外'!M68</f>
        <v>44531</v>
      </c>
      <c r="AG19" s="26">
        <f>'附件4 规划外'!N68</f>
        <v>45139</v>
      </c>
      <c r="AH19" t="str">
        <f>'附件4 规划外'!O68</f>
        <v>市城管局</v>
      </c>
      <c r="AI19" t="str">
        <f>'附件4 规划外'!P68</f>
        <v>祥符区</v>
      </c>
      <c r="AJ19">
        <f>'附件4 规划外'!Q68</f>
        <v>0</v>
      </c>
      <c r="AK19">
        <f>'附件4 规划外'!R68</f>
        <v>0</v>
      </c>
    </row>
    <row r="20" spans="1:37">
      <c r="A20">
        <f>'附件3 规划内'!A125</f>
        <v>124</v>
      </c>
      <c r="B20" t="str">
        <f>'附件3 规划内'!B125</f>
        <v>2019年陈留镇八里庙村贫困村提升工程村内道路</v>
      </c>
      <c r="C20" t="str">
        <f>'附件3 规划内'!C125</f>
        <v>乡村振兴</v>
      </c>
      <c r="D20" t="str">
        <f>'附件3 规划内'!D125</f>
        <v>通村道路0.05公里</v>
      </c>
      <c r="E20">
        <f>'附件3 规划内'!E125</f>
        <v>4</v>
      </c>
      <c r="F20">
        <f>'附件3 规划内'!F125</f>
        <v>4</v>
      </c>
      <c r="G20">
        <f>'附件3 规划内'!G125</f>
        <v>0</v>
      </c>
      <c r="H20">
        <f>'附件3 规划内'!H125</f>
        <v>0</v>
      </c>
      <c r="I20" t="str">
        <f>'附件3 规划内'!I125</f>
        <v>完工</v>
      </c>
      <c r="J20">
        <f>'附件3 规划内'!J125</f>
        <v>4</v>
      </c>
      <c r="K20" t="str">
        <f>'附件3 规划内'!K125</f>
        <v/>
      </c>
      <c r="L20">
        <f>'附件3 规划内'!L125</f>
        <v>0</v>
      </c>
      <c r="M20" s="26">
        <f>'附件3 规划内'!M125</f>
        <v>44440</v>
      </c>
      <c r="N20" s="26">
        <f>'附件3 规划内'!N125</f>
        <v>44499</v>
      </c>
      <c r="O20" t="str">
        <f>'附件3 规划内'!O125</f>
        <v>市乡村振兴局</v>
      </c>
      <c r="P20" t="str">
        <f>'附件3 规划内'!P125</f>
        <v>祥符区</v>
      </c>
      <c r="Q20">
        <f>'附件3 规划内'!Q125</f>
        <v>0</v>
      </c>
      <c r="R20">
        <f>'附件3 规划内'!R125</f>
        <v>0</v>
      </c>
      <c r="T20">
        <f>'附件4 规划外'!A69</f>
        <v>79</v>
      </c>
      <c r="U20" t="str">
        <f>'附件4 规划外'!B69</f>
        <v>开封市祥符区民用采暖工程</v>
      </c>
      <c r="V20" t="str">
        <f>'附件4 规划外'!C69</f>
        <v>市政</v>
      </c>
      <c r="W20" t="str">
        <f>'附件4 规划外'!D69</f>
        <v>开封市祥符区民用采暖程，总投资13064万元。开封市祥符区民用采暖程，总投资13064万元</v>
      </c>
      <c r="X20">
        <f>'附件4 规划外'!E69</f>
        <v>13064</v>
      </c>
      <c r="Y20">
        <f>'附件4 规划外'!F69</f>
        <v>10000</v>
      </c>
      <c r="Z20">
        <f>'附件4 规划外'!G69</f>
        <v>3064</v>
      </c>
      <c r="AA20">
        <f>'附件4 规划外'!H69</f>
        <v>0</v>
      </c>
      <c r="AB20" t="str">
        <f>'附件4 规划外'!I69</f>
        <v>在建</v>
      </c>
      <c r="AC20">
        <f>'附件4 规划外'!J69</f>
        <v>11210</v>
      </c>
      <c r="AD20">
        <f>'附件4 规划外'!K69</f>
        <v>1210</v>
      </c>
      <c r="AE20" t="str">
        <f>'附件4 规划外'!L69</f>
        <v>正在施工</v>
      </c>
      <c r="AF20" s="26">
        <f>'附件4 规划外'!M69</f>
        <v>44713</v>
      </c>
      <c r="AG20" s="26">
        <f>'附件4 规划外'!N69</f>
        <v>45139</v>
      </c>
      <c r="AH20" t="str">
        <f>'附件4 规划外'!O69</f>
        <v>市城管局</v>
      </c>
      <c r="AI20" t="str">
        <f>'附件4 规划外'!P69</f>
        <v>祥符区</v>
      </c>
      <c r="AJ20">
        <f>'附件4 规划外'!Q69</f>
        <v>0</v>
      </c>
      <c r="AK20">
        <f>'附件4 规划外'!R69</f>
        <v>0</v>
      </c>
    </row>
    <row r="21" spans="1:37">
      <c r="A21">
        <f>'附件3 规划内'!A126</f>
        <v>125</v>
      </c>
      <c r="B21" t="str">
        <f>'附件3 规划内'!B126</f>
        <v>2019年仇楼镇十里铺村贫困村提升工程村内道路</v>
      </c>
      <c r="C21" t="str">
        <f>'附件3 规划内'!C126</f>
        <v>乡村振兴</v>
      </c>
      <c r="D21" t="str">
        <f>'附件3 规划内'!D126</f>
        <v>通村道路0.2公里</v>
      </c>
      <c r="E21">
        <f>'附件3 规划内'!E126</f>
        <v>1.8</v>
      </c>
      <c r="F21">
        <f>'附件3 规划内'!F126</f>
        <v>1.8</v>
      </c>
      <c r="G21">
        <f>'附件3 规划内'!G126</f>
        <v>0</v>
      </c>
      <c r="H21">
        <f>'附件3 规划内'!H126</f>
        <v>0</v>
      </c>
      <c r="I21" t="str">
        <f>'附件3 规划内'!I126</f>
        <v>完工</v>
      </c>
      <c r="J21">
        <f>'附件3 规划内'!J126</f>
        <v>1.8</v>
      </c>
      <c r="K21" t="str">
        <f>'附件3 规划内'!K126</f>
        <v/>
      </c>
      <c r="L21">
        <f>'附件3 规划内'!L126</f>
        <v>0</v>
      </c>
      <c r="M21" s="26">
        <f>'附件3 规划内'!M126</f>
        <v>44440</v>
      </c>
      <c r="N21" s="26">
        <f>'附件3 规划内'!N126</f>
        <v>44499</v>
      </c>
      <c r="O21" t="str">
        <f>'附件3 规划内'!O126</f>
        <v>市乡村振兴局</v>
      </c>
      <c r="P21" t="str">
        <f>'附件3 规划内'!P126</f>
        <v>祥符区</v>
      </c>
      <c r="Q21">
        <f>'附件3 规划内'!Q126</f>
        <v>0</v>
      </c>
      <c r="R21">
        <f>'附件3 规划内'!R126</f>
        <v>0</v>
      </c>
      <c r="T21">
        <f>'附件4 规划外'!A70</f>
        <v>80</v>
      </c>
      <c r="U21" t="str">
        <f>'附件4 规划外'!B70</f>
        <v>祥符区受损市政配套基础设施项目</v>
      </c>
      <c r="V21" t="str">
        <f>'附件4 规划外'!C70</f>
        <v>市政</v>
      </c>
      <c r="W21" t="str">
        <f>'附件4 规划外'!D70</f>
        <v>需要更换窨井盖1600套，采购单价950元，施工单价850元</v>
      </c>
      <c r="X21">
        <f>'附件4 规划外'!E70</f>
        <v>288</v>
      </c>
      <c r="Y21">
        <f>'附件4 规划外'!F70</f>
        <v>108</v>
      </c>
      <c r="Z21">
        <f>'附件4 规划外'!G70</f>
        <v>108</v>
      </c>
      <c r="AA21">
        <f>'附件4 规划外'!H70</f>
        <v>72</v>
      </c>
      <c r="AB21" t="str">
        <f>'附件4 规划外'!I70</f>
        <v>在建</v>
      </c>
      <c r="AC21">
        <f>'附件4 规划外'!J70</f>
        <v>216</v>
      </c>
      <c r="AD21">
        <f>'附件4 规划外'!K70</f>
        <v>108</v>
      </c>
      <c r="AE21" t="str">
        <f>'附件4 规划外'!L70</f>
        <v>已开工</v>
      </c>
      <c r="AF21" s="26">
        <f>'附件4 规划外'!M70</f>
        <v>44440</v>
      </c>
      <c r="AG21" s="26">
        <f>'附件4 规划外'!N70</f>
        <v>45078</v>
      </c>
      <c r="AH21" t="str">
        <f>'附件4 规划外'!O70</f>
        <v>市城管局</v>
      </c>
      <c r="AI21" t="str">
        <f>'附件4 规划外'!P70</f>
        <v>祥符区</v>
      </c>
      <c r="AJ21">
        <f>'附件4 规划外'!Q70</f>
        <v>0</v>
      </c>
      <c r="AK21">
        <f>'附件4 规划外'!R70</f>
        <v>0</v>
      </c>
    </row>
    <row r="22" spans="1:37">
      <c r="A22">
        <f>'附件3 规划内'!A127</f>
        <v>126</v>
      </c>
      <c r="B22" t="str">
        <f>'附件3 规划内'!B127</f>
        <v>2019年八里湾镇大马营村贫困村提升工程村内道路</v>
      </c>
      <c r="C22" t="str">
        <f>'附件3 规划内'!C127</f>
        <v>乡村振兴</v>
      </c>
      <c r="D22" t="str">
        <f>'附件3 规划内'!D127</f>
        <v>通村道路4公里</v>
      </c>
      <c r="E22">
        <f>'附件3 规划内'!E127</f>
        <v>1.2</v>
      </c>
      <c r="F22">
        <f>'附件3 规划内'!F127</f>
        <v>1.2</v>
      </c>
      <c r="G22">
        <f>'附件3 规划内'!G127</f>
        <v>0</v>
      </c>
      <c r="H22">
        <f>'附件3 规划内'!H127</f>
        <v>0</v>
      </c>
      <c r="I22" t="str">
        <f>'附件3 规划内'!I127</f>
        <v>完工</v>
      </c>
      <c r="J22">
        <f>'附件3 规划内'!J127</f>
        <v>1.2</v>
      </c>
      <c r="K22" t="str">
        <f>'附件3 规划内'!K127</f>
        <v/>
      </c>
      <c r="L22">
        <f>'附件3 规划内'!L127</f>
        <v>0</v>
      </c>
      <c r="M22" s="26">
        <f>'附件3 规划内'!M127</f>
        <v>44440</v>
      </c>
      <c r="N22" s="26">
        <f>'附件3 规划内'!N127</f>
        <v>44499</v>
      </c>
      <c r="O22" t="str">
        <f>'附件3 规划内'!O127</f>
        <v>市乡村振兴局</v>
      </c>
      <c r="P22" t="str">
        <f>'附件3 规划内'!P127</f>
        <v>祥符区</v>
      </c>
      <c r="Q22">
        <f>'附件3 规划内'!Q127</f>
        <v>0</v>
      </c>
      <c r="R22">
        <f>'附件3 规划内'!R127</f>
        <v>0</v>
      </c>
      <c r="T22">
        <f>'附件4 规划外'!A71</f>
        <v>81</v>
      </c>
      <c r="U22" t="str">
        <f>'附件4 规划外'!B71</f>
        <v>经二路（世纪大道-中学街东延段）修复及排水管网改造项目</v>
      </c>
      <c r="V22" t="str">
        <f>'附件4 规划外'!C71</f>
        <v>市政</v>
      </c>
      <c r="W22" t="str">
        <f>'附件4 规划外'!D71</f>
        <v>对经二路（世纪大道-中学街东延段）进行修复，对雨污排水管网进行改造</v>
      </c>
      <c r="X22">
        <f>'附件4 规划外'!E71</f>
        <v>720</v>
      </c>
      <c r="Y22">
        <f>'附件4 规划外'!F71</f>
        <v>0</v>
      </c>
      <c r="Z22">
        <f>'附件4 规划外'!G71</f>
        <v>720</v>
      </c>
      <c r="AA22">
        <f>'附件4 规划外'!H71</f>
        <v>0</v>
      </c>
      <c r="AB22" t="str">
        <f>'附件4 规划外'!I71</f>
        <v>完工</v>
      </c>
      <c r="AC22">
        <f>'附件4 规划外'!J71</f>
        <v>720</v>
      </c>
      <c r="AD22">
        <f>'附件4 规划外'!K71</f>
        <v>720</v>
      </c>
      <c r="AE22" t="str">
        <f>'附件4 规划外'!L71</f>
        <v>已完工</v>
      </c>
      <c r="AF22" s="26">
        <f>'附件4 规划外'!M71</f>
        <v>44621</v>
      </c>
      <c r="AG22" s="26">
        <f>'附件4 规划外'!N71</f>
        <v>44896</v>
      </c>
      <c r="AH22" t="str">
        <f>'附件4 规划外'!O71</f>
        <v>市城管局</v>
      </c>
      <c r="AI22" t="str">
        <f>'附件4 规划外'!P71</f>
        <v>祥符区</v>
      </c>
      <c r="AJ22">
        <f>'附件4 规划外'!Q71</f>
        <v>0</v>
      </c>
      <c r="AK22">
        <f>'附件4 规划外'!R71</f>
        <v>0</v>
      </c>
    </row>
    <row r="23" spans="1:37">
      <c r="A23">
        <f>'附件3 规划内'!A128</f>
        <v>127</v>
      </c>
      <c r="B23" t="str">
        <f>'附件3 规划内'!B128</f>
        <v>2017年八里湾镇磨角楼村村内道路建设项目</v>
      </c>
      <c r="C23" t="str">
        <f>'附件3 规划内'!C128</f>
        <v>乡村振兴</v>
      </c>
      <c r="D23" t="str">
        <f>'附件3 规划内'!D128</f>
        <v>通村道路1.5公里</v>
      </c>
      <c r="E23">
        <f>'附件3 规划内'!E128</f>
        <v>3.5</v>
      </c>
      <c r="F23">
        <f>'附件3 规划内'!F128</f>
        <v>3.5</v>
      </c>
      <c r="G23">
        <f>'附件3 规划内'!G128</f>
        <v>0</v>
      </c>
      <c r="H23">
        <f>'附件3 规划内'!H128</f>
        <v>0</v>
      </c>
      <c r="I23" t="str">
        <f>'附件3 规划内'!I128</f>
        <v>完工</v>
      </c>
      <c r="J23">
        <f>'附件3 规划内'!J128</f>
        <v>3.5</v>
      </c>
      <c r="K23" t="str">
        <f>'附件3 规划内'!K128</f>
        <v/>
      </c>
      <c r="L23">
        <f>'附件3 规划内'!L128</f>
        <v>0</v>
      </c>
      <c r="M23" s="26">
        <f>'附件3 规划内'!M128</f>
        <v>44440</v>
      </c>
      <c r="N23" s="26">
        <f>'附件3 规划内'!N128</f>
        <v>44499</v>
      </c>
      <c r="O23" t="str">
        <f>'附件3 规划内'!O128</f>
        <v>市乡村振兴局</v>
      </c>
      <c r="P23" t="str">
        <f>'附件3 规划内'!P128</f>
        <v>祥符区</v>
      </c>
      <c r="Q23">
        <f>'附件3 规划内'!Q128</f>
        <v>0</v>
      </c>
      <c r="R23">
        <f>'附件3 规划内'!R128</f>
        <v>0</v>
      </c>
      <c r="T23">
        <f>'附件4 规划外'!A72</f>
        <v>82</v>
      </c>
      <c r="U23" t="str">
        <f>'附件4 规划外'!B72</f>
        <v>祥符区市政道路修复项目</v>
      </c>
      <c r="V23" t="str">
        <f>'附件4 规划外'!C72</f>
        <v>市政</v>
      </c>
      <c r="W23" t="str">
        <f>'附件4 规划外'!D72</f>
        <v>人民路、上禾大道、科教大道路面修补投资200万、青年路雨污水管网修复改造投资1300万、经二路（中学街东延-独白路段）雨污水管网修复改造及绿化项目投资1831.628万元</v>
      </c>
      <c r="X23">
        <f>'附件4 规划外'!E72</f>
        <v>3331.628</v>
      </c>
      <c r="Y23">
        <f>'附件4 规划外'!F72</f>
        <v>0</v>
      </c>
      <c r="Z23">
        <f>'附件4 规划外'!G72</f>
        <v>3331.628</v>
      </c>
      <c r="AA23">
        <f>'附件4 规划外'!H72</f>
        <v>0</v>
      </c>
      <c r="AB23" t="str">
        <f>'附件4 规划外'!I72</f>
        <v>完工</v>
      </c>
      <c r="AC23">
        <f>'附件4 规划外'!J72</f>
        <v>3331.628</v>
      </c>
      <c r="AD23">
        <f>'附件4 规划外'!K72</f>
        <v>3331.628</v>
      </c>
      <c r="AE23" t="str">
        <f>'附件4 规划外'!L72</f>
        <v>已完工</v>
      </c>
      <c r="AF23" s="26">
        <f>'附件4 规划外'!M72</f>
        <v>44621</v>
      </c>
      <c r="AG23" s="26">
        <f>'附件4 规划外'!N72</f>
        <v>44896</v>
      </c>
      <c r="AH23" t="str">
        <f>'附件4 规划外'!O72</f>
        <v>市城管局</v>
      </c>
      <c r="AI23" t="str">
        <f>'附件4 规划外'!P72</f>
        <v>祥符区</v>
      </c>
      <c r="AJ23">
        <f>'附件4 规划外'!Q72</f>
        <v>0</v>
      </c>
      <c r="AK23">
        <f>'附件4 规划外'!R72</f>
        <v>0</v>
      </c>
    </row>
    <row r="24" spans="1:37">
      <c r="A24">
        <f>'附件3 规划内'!A129</f>
        <v>128</v>
      </c>
      <c r="B24" t="str">
        <f>'附件3 规划内'!B129</f>
        <v>2017年曲兴镇后湾村村内道路建设项目</v>
      </c>
      <c r="C24" t="str">
        <f>'附件3 规划内'!C129</f>
        <v>乡村振兴</v>
      </c>
      <c r="D24" t="str">
        <f>'附件3 规划内'!D129</f>
        <v>通村道路0.03公里</v>
      </c>
      <c r="E24">
        <f>'附件3 规划内'!E129</f>
        <v>1.2</v>
      </c>
      <c r="F24">
        <f>'附件3 规划内'!F129</f>
        <v>1.2</v>
      </c>
      <c r="G24">
        <f>'附件3 规划内'!G129</f>
        <v>0</v>
      </c>
      <c r="H24">
        <f>'附件3 规划内'!H129</f>
        <v>0</v>
      </c>
      <c r="I24" t="str">
        <f>'附件3 规划内'!I129</f>
        <v>完工</v>
      </c>
      <c r="J24">
        <f>'附件3 规划内'!J129</f>
        <v>1.2</v>
      </c>
      <c r="K24" t="str">
        <f>'附件3 规划内'!K129</f>
        <v/>
      </c>
      <c r="L24">
        <f>'附件3 规划内'!L129</f>
        <v>0</v>
      </c>
      <c r="M24" s="26">
        <f>'附件3 规划内'!M129</f>
        <v>44440</v>
      </c>
      <c r="N24" s="26">
        <f>'附件3 规划内'!N129</f>
        <v>44499</v>
      </c>
      <c r="O24" t="str">
        <f>'附件3 规划内'!O129</f>
        <v>市乡村振兴局</v>
      </c>
      <c r="P24" t="str">
        <f>'附件3 规划内'!P129</f>
        <v>祥符区</v>
      </c>
      <c r="Q24">
        <f>'附件3 规划内'!Q129</f>
        <v>0</v>
      </c>
      <c r="R24">
        <f>'附件3 规划内'!R129</f>
        <v>0</v>
      </c>
      <c r="T24">
        <f>'附件4 规划外'!A73</f>
        <v>83</v>
      </c>
      <c r="U24" t="str">
        <f>'附件4 规划外'!B73</f>
        <v>祥符区建筑垃圾消纳厂建设项目</v>
      </c>
      <c r="V24" t="str">
        <f>'附件4 规划外'!C73</f>
        <v>市政</v>
      </c>
      <c r="W24" t="str">
        <f>'附件4 规划外'!D73</f>
        <v>建设一座占地50亩，日处理建筑垃圾能力200吨的消纳厂</v>
      </c>
      <c r="X24">
        <f>'附件4 规划外'!E73</f>
        <v>2000</v>
      </c>
      <c r="Y24">
        <f>'附件4 规划外'!F73</f>
        <v>0</v>
      </c>
      <c r="Z24">
        <f>'附件4 规划外'!G73</f>
        <v>500</v>
      </c>
      <c r="AA24">
        <f>'附件4 规划外'!H73</f>
        <v>1500</v>
      </c>
      <c r="AB24" t="str">
        <f>'附件4 规划外'!I73</f>
        <v>完工</v>
      </c>
      <c r="AC24">
        <f>'附件4 规划外'!J73</f>
        <v>2000</v>
      </c>
      <c r="AD24">
        <f>'附件4 规划外'!K73</f>
        <v>2000</v>
      </c>
      <c r="AE24" t="str">
        <f>'附件4 规划外'!L73</f>
        <v>已完工</v>
      </c>
      <c r="AF24" s="26">
        <f>'附件4 规划外'!M73</f>
        <v>44621</v>
      </c>
      <c r="AG24" s="26">
        <f>'附件4 规划外'!N73</f>
        <v>45139</v>
      </c>
      <c r="AH24" t="str">
        <f>'附件4 规划外'!O73</f>
        <v>市城管局</v>
      </c>
      <c r="AI24" t="str">
        <f>'附件4 规划外'!P73</f>
        <v>祥符区</v>
      </c>
      <c r="AJ24">
        <f>'附件4 规划外'!Q73</f>
        <v>0</v>
      </c>
      <c r="AK24">
        <f>'附件4 规划外'!R73</f>
        <v>0</v>
      </c>
    </row>
    <row r="25" spans="1:37">
      <c r="A25">
        <f>'附件3 规划内'!A130</f>
        <v>129</v>
      </c>
      <c r="B25" t="str">
        <f>'附件3 规划内'!B130</f>
        <v>2018年曲兴镇耿楼村村内道路</v>
      </c>
      <c r="C25" t="str">
        <f>'附件3 规划内'!C130</f>
        <v>乡村振兴</v>
      </c>
      <c r="D25" t="str">
        <f>'附件3 规划内'!D130</f>
        <v>通村道路5公里</v>
      </c>
      <c r="E25">
        <f>'附件3 规划内'!E130</f>
        <v>0.5</v>
      </c>
      <c r="F25">
        <f>'附件3 规划内'!F130</f>
        <v>0.5</v>
      </c>
      <c r="G25">
        <f>'附件3 规划内'!G130</f>
        <v>0</v>
      </c>
      <c r="H25">
        <f>'附件3 规划内'!H130</f>
        <v>0</v>
      </c>
      <c r="I25" t="str">
        <f>'附件3 规划内'!I130</f>
        <v>完工</v>
      </c>
      <c r="J25">
        <f>'附件3 规划内'!J130</f>
        <v>0.5</v>
      </c>
      <c r="K25" t="str">
        <f>'附件3 规划内'!K130</f>
        <v/>
      </c>
      <c r="L25">
        <f>'附件3 规划内'!L130</f>
        <v>0</v>
      </c>
      <c r="M25" s="26">
        <f>'附件3 规划内'!M130</f>
        <v>44440</v>
      </c>
      <c r="N25" s="26">
        <f>'附件3 规划内'!N130</f>
        <v>44499</v>
      </c>
      <c r="O25" t="str">
        <f>'附件3 规划内'!O130</f>
        <v>市乡村振兴局</v>
      </c>
      <c r="P25" t="str">
        <f>'附件3 规划内'!P130</f>
        <v>祥符区</v>
      </c>
      <c r="Q25">
        <f>'附件3 规划内'!Q130</f>
        <v>0</v>
      </c>
      <c r="R25">
        <f>'附件3 规划内'!R130</f>
        <v>0</v>
      </c>
      <c r="T25">
        <f>'附件4 规划外'!A74</f>
        <v>84</v>
      </c>
      <c r="U25" t="str">
        <f>'附件4 规划外'!B74</f>
        <v>祥符区受损公共设施项目</v>
      </c>
      <c r="V25" t="str">
        <f>'附件4 规划外'!C74</f>
        <v>市政</v>
      </c>
      <c r="W25" t="str">
        <f>'附件4 规划外'!D74</f>
        <v>新建公共厕所5座</v>
      </c>
      <c r="X25">
        <f>'附件4 规划外'!E74</f>
        <v>350</v>
      </c>
      <c r="Y25">
        <f>'附件4 规划外'!F74</f>
        <v>350</v>
      </c>
      <c r="Z25">
        <f>'附件4 规划外'!G74</f>
        <v>0</v>
      </c>
      <c r="AA25">
        <f>'附件4 规划外'!H74</f>
        <v>0</v>
      </c>
      <c r="AB25" t="str">
        <f>'附件4 规划外'!I74</f>
        <v>完工</v>
      </c>
      <c r="AC25">
        <f>'附件4 规划外'!J74</f>
        <v>350</v>
      </c>
      <c r="AD25" t="str">
        <f>'附件4 规划外'!K74</f>
        <v/>
      </c>
      <c r="AE25" t="str">
        <f>'附件4 规划外'!L74</f>
        <v>已完工</v>
      </c>
      <c r="AF25" s="26">
        <f>'附件4 规划外'!M74</f>
        <v>44440</v>
      </c>
      <c r="AG25" s="26">
        <f>'附件4 规划外'!N74</f>
        <v>44531</v>
      </c>
      <c r="AH25" t="str">
        <f>'附件4 规划外'!O74</f>
        <v>市城管局</v>
      </c>
      <c r="AI25" t="str">
        <f>'附件4 规划外'!P74</f>
        <v>祥符区</v>
      </c>
      <c r="AJ25">
        <f>'附件4 规划外'!Q74</f>
        <v>0</v>
      </c>
      <c r="AK25">
        <f>'附件4 规划外'!R74</f>
        <v>0</v>
      </c>
    </row>
    <row r="26" spans="1:37">
      <c r="A26">
        <f>'附件3 规划内'!A131</f>
        <v>130</v>
      </c>
      <c r="B26" t="str">
        <f>'附件3 规划内'!B131</f>
        <v>2019年曲兴镇东田村贫困村提升工程村内道路</v>
      </c>
      <c r="C26" t="str">
        <f>'附件3 规划内'!C131</f>
        <v>乡村振兴</v>
      </c>
      <c r="D26" t="str">
        <f>'附件3 规划内'!D131</f>
        <v>通村道路0.02公里</v>
      </c>
      <c r="E26">
        <f>'附件3 规划内'!E131</f>
        <v>1.2</v>
      </c>
      <c r="F26">
        <f>'附件3 规划内'!F131</f>
        <v>1.2</v>
      </c>
      <c r="G26">
        <f>'附件3 规划内'!G131</f>
        <v>0</v>
      </c>
      <c r="H26">
        <f>'附件3 规划内'!H131</f>
        <v>0</v>
      </c>
      <c r="I26" t="str">
        <f>'附件3 规划内'!I131</f>
        <v>完工</v>
      </c>
      <c r="J26">
        <f>'附件3 规划内'!J131</f>
        <v>1.2</v>
      </c>
      <c r="K26" t="str">
        <f>'附件3 规划内'!K131</f>
        <v/>
      </c>
      <c r="L26">
        <f>'附件3 规划内'!L131</f>
        <v>0</v>
      </c>
      <c r="M26" s="26">
        <f>'附件3 规划内'!M131</f>
        <v>44440</v>
      </c>
      <c r="N26" s="26">
        <f>'附件3 规划内'!N131</f>
        <v>44499</v>
      </c>
      <c r="O26" t="str">
        <f>'附件3 规划内'!O131</f>
        <v>市乡村振兴局</v>
      </c>
      <c r="P26" t="str">
        <f>'附件3 规划内'!P131</f>
        <v>祥符区</v>
      </c>
      <c r="Q26">
        <f>'附件3 规划内'!Q131</f>
        <v>0</v>
      </c>
      <c r="R26">
        <f>'附件3 规划内'!R131</f>
        <v>0</v>
      </c>
      <c r="T26">
        <f>'附件4 规划外'!A94</f>
        <v>104</v>
      </c>
      <c r="U26" t="str">
        <f>'附件4 规划外'!B94</f>
        <v>祥符区救助管理站提升改造项目工程</v>
      </c>
      <c r="V26" t="str">
        <f>'附件4 规划外'!C94</f>
        <v>民政</v>
      </c>
      <c r="W26" t="str">
        <f>'附件4 规划外'!D94</f>
        <v>救助站重建，增设临时救助中心为受灾群众、临时陷入困境人员提供临时休息、救助等服务，购置救助车辆两台</v>
      </c>
      <c r="X26">
        <f>'附件4 规划外'!E94</f>
        <v>900</v>
      </c>
      <c r="Y26">
        <f>'附件4 规划外'!F94</f>
        <v>0</v>
      </c>
      <c r="Z26">
        <f>'附件4 规划外'!G94</f>
        <v>900</v>
      </c>
      <c r="AA26">
        <f>'附件4 规划外'!H94</f>
        <v>0</v>
      </c>
      <c r="AB26" t="str">
        <f>'附件4 规划外'!I94</f>
        <v>完工</v>
      </c>
      <c r="AC26">
        <f>'附件4 规划外'!J94</f>
        <v>900</v>
      </c>
      <c r="AD26">
        <f>'附件4 规划外'!K94</f>
        <v>900</v>
      </c>
      <c r="AE26" t="str">
        <f>'附件4 规划外'!L94</f>
        <v>已完工 </v>
      </c>
      <c r="AF26" s="26">
        <f>'附件4 规划外'!M94</f>
        <v>44531</v>
      </c>
      <c r="AG26" s="26">
        <f>'附件4 规划外'!N94</f>
        <v>44671</v>
      </c>
      <c r="AH26" t="str">
        <f>'附件4 规划外'!O94</f>
        <v>市民政局</v>
      </c>
      <c r="AI26" t="str">
        <f>'附件4 规划外'!P94</f>
        <v>祥符区</v>
      </c>
      <c r="AJ26">
        <f>'附件4 规划外'!Q94</f>
        <v>0</v>
      </c>
      <c r="AK26">
        <f>'附件4 规划外'!R94</f>
        <v>0</v>
      </c>
    </row>
    <row r="27" spans="1:37">
      <c r="A27">
        <f>'附件3 规划内'!A132</f>
        <v>131</v>
      </c>
      <c r="B27" t="str">
        <f>'附件3 规划内'!B132</f>
        <v>罗王镇冯庄村村内道路建设项目</v>
      </c>
      <c r="C27" t="str">
        <f>'附件3 规划内'!C132</f>
        <v>乡村振兴</v>
      </c>
      <c r="D27" t="str">
        <f>'附件3 规划内'!D132</f>
        <v>通村道路0.3公里</v>
      </c>
      <c r="E27">
        <f>'附件3 规划内'!E132</f>
        <v>2</v>
      </c>
      <c r="F27">
        <f>'附件3 规划内'!F132</f>
        <v>2</v>
      </c>
      <c r="G27">
        <f>'附件3 规划内'!G132</f>
        <v>0</v>
      </c>
      <c r="H27">
        <f>'附件3 规划内'!H132</f>
        <v>0</v>
      </c>
      <c r="I27" t="str">
        <f>'附件3 规划内'!I132</f>
        <v>完工</v>
      </c>
      <c r="J27">
        <f>'附件3 规划内'!J132</f>
        <v>2</v>
      </c>
      <c r="K27" t="str">
        <f>'附件3 规划内'!K132</f>
        <v/>
      </c>
      <c r="L27">
        <f>'附件3 规划内'!L132</f>
        <v>0</v>
      </c>
      <c r="M27" s="26">
        <f>'附件3 规划内'!M132</f>
        <v>44440</v>
      </c>
      <c r="N27" s="26">
        <f>'附件3 规划内'!N132</f>
        <v>44499</v>
      </c>
      <c r="O27" t="str">
        <f>'附件3 规划内'!O132</f>
        <v>市乡村振兴局</v>
      </c>
      <c r="P27" t="str">
        <f>'附件3 规划内'!P132</f>
        <v>祥符区</v>
      </c>
      <c r="Q27">
        <f>'附件3 规划内'!Q132</f>
        <v>0</v>
      </c>
      <c r="R27">
        <f>'附件3 规划内'!R132</f>
        <v>0</v>
      </c>
      <c r="T27">
        <f>'附件4 规划外'!A95</f>
        <v>105</v>
      </c>
      <c r="U27" t="str">
        <f>'附件4 规划外'!B95</f>
        <v>祥符区养老服务设施灾后恢复重建项目</v>
      </c>
      <c r="V27" t="str">
        <f>'附件4 规划外'!C95</f>
        <v>民政</v>
      </c>
      <c r="W27" t="str">
        <f>'附件4 规划外'!D95</f>
        <v>开封市祥符区综合养老服务中心项目；祥符区老年养护中心项目；敬老院提升改造项目；14个敬老院因水灾不同程度受损，需对14所敬老院进行房屋修缮、排水、线路、围墙、墙体粉刷等项目修建</v>
      </c>
      <c r="X27">
        <f>'附件4 规划外'!E95</f>
        <v>20377.26</v>
      </c>
      <c r="Y27">
        <f>'附件4 规划外'!F95</f>
        <v>0</v>
      </c>
      <c r="Z27">
        <f>'附件4 规划外'!G95</f>
        <v>20377.26</v>
      </c>
      <c r="AA27">
        <f>'附件4 规划外'!H95</f>
        <v>0</v>
      </c>
      <c r="AB27" t="str">
        <f>'附件4 规划外'!I95</f>
        <v>完工</v>
      </c>
      <c r="AC27">
        <f>'附件4 规划外'!J95</f>
        <v>20377.26</v>
      </c>
      <c r="AD27">
        <f>'附件4 规划外'!K95</f>
        <v>20377.26</v>
      </c>
      <c r="AE27" t="str">
        <f>'附件4 规划外'!L95</f>
        <v>已完工</v>
      </c>
      <c r="AF27" s="26">
        <f>'附件4 规划外'!M95</f>
        <v>44470</v>
      </c>
      <c r="AG27" s="26">
        <f>'附件4 规划外'!N95</f>
        <v>44671</v>
      </c>
      <c r="AH27" t="str">
        <f>'附件4 规划外'!O95</f>
        <v>市民政局</v>
      </c>
      <c r="AI27" t="str">
        <f>'附件4 规划外'!P95</f>
        <v>祥符区</v>
      </c>
      <c r="AJ27">
        <f>'附件4 规划外'!Q95</f>
        <v>0</v>
      </c>
      <c r="AK27">
        <f>'附件4 规划外'!R95</f>
        <v>0</v>
      </c>
    </row>
    <row r="28" spans="1:37">
      <c r="A28">
        <f>'附件3 规划内'!A133</f>
        <v>132</v>
      </c>
      <c r="B28" t="str">
        <f>'附件3 规划内'!B133</f>
        <v>刘店乡刘店村贫困村提升工程村内道路</v>
      </c>
      <c r="C28" t="str">
        <f>'附件3 规划内'!C133</f>
        <v>乡村振兴</v>
      </c>
      <c r="D28" t="str">
        <f>'附件3 规划内'!D133</f>
        <v>通村道路1.2公里</v>
      </c>
      <c r="E28">
        <f>'附件3 规划内'!E133</f>
        <v>3</v>
      </c>
      <c r="F28">
        <f>'附件3 规划内'!F133</f>
        <v>3</v>
      </c>
      <c r="G28">
        <f>'附件3 规划内'!G133</f>
        <v>0</v>
      </c>
      <c r="H28">
        <f>'附件3 规划内'!H133</f>
        <v>0</v>
      </c>
      <c r="I28" t="str">
        <f>'附件3 规划内'!I133</f>
        <v>完工</v>
      </c>
      <c r="J28">
        <f>'附件3 规划内'!J133</f>
        <v>3</v>
      </c>
      <c r="K28" t="str">
        <f>'附件3 规划内'!K133</f>
        <v/>
      </c>
      <c r="L28">
        <f>'附件3 规划内'!L133</f>
        <v>0</v>
      </c>
      <c r="M28" s="26">
        <f>'附件3 规划内'!M133</f>
        <v>44470</v>
      </c>
      <c r="N28" s="26">
        <f>'附件3 规划内'!N133</f>
        <v>44560</v>
      </c>
      <c r="O28" t="str">
        <f>'附件3 规划内'!O133</f>
        <v>市乡村振兴局</v>
      </c>
      <c r="P28" t="str">
        <f>'附件3 规划内'!P133</f>
        <v>祥符区</v>
      </c>
      <c r="Q28">
        <f>'附件3 规划内'!Q133</f>
        <v>0</v>
      </c>
      <c r="R28">
        <f>'附件3 规划内'!R133</f>
        <v>0</v>
      </c>
      <c r="T28">
        <f>'附件4 规划外'!A111</f>
        <v>124</v>
      </c>
      <c r="U28" t="str">
        <f>'附件4 规划外'!B111</f>
        <v>祥符区文旅保护提升工程</v>
      </c>
      <c r="V28" t="str">
        <f>'附件4 规划外'!C111</f>
        <v>文物保护</v>
      </c>
      <c r="W28" t="str">
        <f>'附件4 规划外'!D111</f>
        <v>祥符区文物保护工程，包括文物本体保护和修缮，以及“三防”工程建设，计划投资1000万。
朱仙镇保护提升、环境整治工程，包括街道环境提升、运粮河治理保护、周边环境整治等，计划投资5000万。</v>
      </c>
      <c r="X28">
        <f>'附件4 规划外'!E111</f>
        <v>6000</v>
      </c>
      <c r="Y28">
        <f>'附件4 规划外'!F111</f>
        <v>0</v>
      </c>
      <c r="Z28">
        <f>'附件4 规划外'!G111</f>
        <v>300</v>
      </c>
      <c r="AA28">
        <f>'附件4 规划外'!H111</f>
        <v>5700</v>
      </c>
      <c r="AB28" t="str">
        <f>'附件4 规划外'!I111</f>
        <v>在建</v>
      </c>
      <c r="AC28">
        <f>'附件4 规划外'!J111</f>
        <v>423</v>
      </c>
      <c r="AD28">
        <f>'附件4 规划外'!K111</f>
        <v>423</v>
      </c>
      <c r="AE28" t="str">
        <f>'附件4 规划外'!L111</f>
        <v>朱仙镇岳飞庙（含关帝庙）维修方案已编制完成；朱仙镇清真寺安防工程已完成100%；朱仙镇大石桥维修工程正在实施，资金55万元；朱仙镇岳飞庙（含关帝庙）防雷二期工程、朱仙镇清真寺防雷二期工程正在走程序，资金分别为26万元、21万元。</v>
      </c>
      <c r="AF28" s="26">
        <f>'附件4 规划外'!M111</f>
        <v>44713</v>
      </c>
      <c r="AG28" s="26">
        <f>'附件4 规划外'!N111</f>
        <v>45139</v>
      </c>
      <c r="AH28" t="str">
        <f>'附件4 规划外'!O111</f>
        <v>市文化广电旅游局</v>
      </c>
      <c r="AI28" t="str">
        <f>'附件4 规划外'!P111</f>
        <v>祥符区</v>
      </c>
      <c r="AJ28">
        <f>'附件4 规划外'!Q111</f>
        <v>0</v>
      </c>
      <c r="AK28">
        <f>'附件4 规划外'!R111</f>
        <v>0</v>
      </c>
    </row>
    <row r="29" spans="1:37">
      <c r="A29">
        <f>'附件3 规划内'!A134</f>
        <v>133</v>
      </c>
      <c r="B29" t="str">
        <f>'附件3 规划内'!B134</f>
        <v>2018年刘店乡杜庄村村内道路</v>
      </c>
      <c r="C29" t="str">
        <f>'附件3 规划内'!C134</f>
        <v>乡村振兴</v>
      </c>
      <c r="D29" t="str">
        <f>'附件3 规划内'!D134</f>
        <v>通村道路0.05公里</v>
      </c>
      <c r="E29">
        <f>'附件3 规划内'!E134</f>
        <v>5</v>
      </c>
      <c r="F29">
        <f>'附件3 规划内'!F134</f>
        <v>5</v>
      </c>
      <c r="G29">
        <f>'附件3 规划内'!G134</f>
        <v>0</v>
      </c>
      <c r="H29">
        <f>'附件3 规划内'!H134</f>
        <v>0</v>
      </c>
      <c r="I29" t="str">
        <f>'附件3 规划内'!I134</f>
        <v>完工</v>
      </c>
      <c r="J29">
        <f>'附件3 规划内'!J134</f>
        <v>5</v>
      </c>
      <c r="K29" t="str">
        <f>'附件3 规划内'!K134</f>
        <v/>
      </c>
      <c r="L29">
        <f>'附件3 规划内'!L134</f>
        <v>0</v>
      </c>
      <c r="M29" s="26">
        <f>'附件3 规划内'!M134</f>
        <v>44470</v>
      </c>
      <c r="N29" s="26">
        <f>'附件3 规划内'!N134</f>
        <v>44560</v>
      </c>
      <c r="O29" t="str">
        <f>'附件3 规划内'!O134</f>
        <v>市乡村振兴局</v>
      </c>
      <c r="P29" t="str">
        <f>'附件3 规划内'!P134</f>
        <v>祥符区</v>
      </c>
      <c r="Q29">
        <f>'附件3 规划内'!Q134</f>
        <v>0</v>
      </c>
      <c r="R29">
        <f>'附件3 规划内'!R134</f>
        <v>0</v>
      </c>
      <c r="T29">
        <f>'附件4 规划外'!A117</f>
        <v>130</v>
      </c>
      <c r="U29" t="str">
        <f>'附件4 规划外'!B117</f>
        <v>祥符区国储林机井、绿化项目</v>
      </c>
      <c r="V29" t="str">
        <f>'附件4 规划外'!C117</f>
        <v>林业</v>
      </c>
      <c r="W29" t="str">
        <f>'附件4 规划外'!D117</f>
        <v>祥符区建投公司承建的十八弯、开港大道、大广高速、郑民高速、连霍高速机井476眼报废重建，边沟91520米冲毁修复，廊道绿化1000亩修复重建。</v>
      </c>
      <c r="X29">
        <f>'附件4 规划外'!E117</f>
        <v>1000</v>
      </c>
      <c r="Y29">
        <f>'附件4 规划外'!F117</f>
        <v>800</v>
      </c>
      <c r="Z29">
        <f>'附件4 规划外'!G117</f>
        <v>200</v>
      </c>
      <c r="AA29">
        <f>'附件4 规划外'!H117</f>
        <v>0</v>
      </c>
      <c r="AB29" t="str">
        <f>'附件4 规划外'!I117</f>
        <v>完工</v>
      </c>
      <c r="AC29">
        <f>'附件4 规划外'!J117</f>
        <v>1000</v>
      </c>
      <c r="AD29">
        <f>'附件4 规划外'!K117</f>
        <v>200</v>
      </c>
      <c r="AE29" t="str">
        <f>'附件4 规划外'!L117</f>
        <v>已完成</v>
      </c>
      <c r="AF29" s="26">
        <f>'附件4 规划外'!M117</f>
        <v>44505</v>
      </c>
      <c r="AG29" s="26">
        <f>'附件4 规划外'!N117</f>
        <v>44926</v>
      </c>
      <c r="AH29" t="str">
        <f>'附件4 规划外'!O117</f>
        <v>市林业局</v>
      </c>
      <c r="AI29" t="str">
        <f>'附件4 规划外'!P117</f>
        <v>祥符区</v>
      </c>
      <c r="AJ29">
        <f>'附件4 规划外'!Q117</f>
        <v>0</v>
      </c>
      <c r="AK29">
        <f>'附件4 规划外'!R117</f>
        <v>0</v>
      </c>
    </row>
    <row r="30" spans="1:37">
      <c r="A30">
        <f>'附件3 规划内'!A135</f>
        <v>134</v>
      </c>
      <c r="B30" t="str">
        <f>'附件3 规划内'!B135</f>
        <v>2019年刘店乡郭景村贫困村提升工程村内道路</v>
      </c>
      <c r="C30" t="str">
        <f>'附件3 规划内'!C135</f>
        <v>乡村振兴</v>
      </c>
      <c r="D30" t="str">
        <f>'附件3 规划内'!D135</f>
        <v>通村道路0.15公里</v>
      </c>
      <c r="E30">
        <f>'附件3 规划内'!E135</f>
        <v>6</v>
      </c>
      <c r="F30">
        <f>'附件3 规划内'!F135</f>
        <v>6</v>
      </c>
      <c r="G30">
        <f>'附件3 规划内'!G135</f>
        <v>0</v>
      </c>
      <c r="H30">
        <f>'附件3 规划内'!H135</f>
        <v>0</v>
      </c>
      <c r="I30" t="str">
        <f>'附件3 规划内'!I135</f>
        <v>完工</v>
      </c>
      <c r="J30">
        <f>'附件3 规划内'!J135</f>
        <v>6</v>
      </c>
      <c r="K30" t="str">
        <f>'附件3 规划内'!K135</f>
        <v/>
      </c>
      <c r="L30">
        <f>'附件3 规划内'!L135</f>
        <v>0</v>
      </c>
      <c r="M30" s="26">
        <f>'附件3 规划内'!M135</f>
        <v>44440</v>
      </c>
      <c r="N30" s="26">
        <f>'附件3 规划内'!N135</f>
        <v>44499</v>
      </c>
      <c r="O30" t="str">
        <f>'附件3 规划内'!O135</f>
        <v>市乡村振兴局</v>
      </c>
      <c r="P30" t="str">
        <f>'附件3 规划内'!P135</f>
        <v>祥符区</v>
      </c>
      <c r="Q30">
        <f>'附件3 规划内'!Q135</f>
        <v>0</v>
      </c>
      <c r="R30">
        <f>'附件3 规划内'!R135</f>
        <v>0</v>
      </c>
      <c r="T30">
        <f>'附件4 规划外'!A118</f>
        <v>131</v>
      </c>
      <c r="U30" t="str">
        <f>'附件4 规划外'!B118</f>
        <v>祥符区中心苗圃场及林场基础设施损毁及苗木损毁</v>
      </c>
      <c r="V30" t="str">
        <f>'附件4 规划外'!C118</f>
        <v>林业</v>
      </c>
      <c r="W30" t="str">
        <f>'附件4 规划外'!D118</f>
        <v>林场及苗圃场倒塌围墙570平方的重建，冲毁道路路基1125平方的修复重建；受灾苗圃50亩自救后无絮杨80000棵损毁，及林场107杨苗8000棵的损毁</v>
      </c>
      <c r="X30">
        <f>'附件4 规划外'!E118</f>
        <v>106.2</v>
      </c>
      <c r="Y30">
        <f>'附件4 规划外'!F118</f>
        <v>0</v>
      </c>
      <c r="Z30">
        <f>'附件4 规划外'!G118</f>
        <v>106.2</v>
      </c>
      <c r="AA30">
        <f>'附件4 规划外'!H118</f>
        <v>0</v>
      </c>
      <c r="AB30" t="str">
        <f>'附件4 规划外'!I118</f>
        <v>完工</v>
      </c>
      <c r="AC30">
        <f>'附件4 规划外'!J118</f>
        <v>106.2</v>
      </c>
      <c r="AD30">
        <f>'附件4 规划外'!K118</f>
        <v>106.2</v>
      </c>
      <c r="AE30" t="str">
        <f>'附件4 规划外'!L118</f>
        <v>已完成</v>
      </c>
      <c r="AF30" s="26">
        <f>'附件4 规划外'!M118</f>
        <v>44576</v>
      </c>
      <c r="AG30" s="26">
        <f>'附件4 规划外'!N118</f>
        <v>44926</v>
      </c>
      <c r="AH30" t="str">
        <f>'附件4 规划外'!O118</f>
        <v>市林业局</v>
      </c>
      <c r="AI30" t="str">
        <f>'附件4 规划外'!P118</f>
        <v>祥符区</v>
      </c>
      <c r="AJ30">
        <f>'附件4 规划外'!Q118</f>
        <v>0</v>
      </c>
      <c r="AK30">
        <f>'附件4 规划外'!R118</f>
        <v>0</v>
      </c>
    </row>
    <row r="31" spans="1:37">
      <c r="A31">
        <f>'附件3 规划内'!A136</f>
        <v>135</v>
      </c>
      <c r="B31" t="str">
        <f>'附件3 规划内'!B136</f>
        <v>2015年刘店乡王楼村内道路建设项目</v>
      </c>
      <c r="C31" t="str">
        <f>'附件3 规划内'!C136</f>
        <v>乡村振兴</v>
      </c>
      <c r="D31" t="str">
        <f>'附件3 规划内'!D136</f>
        <v>通村道路0.05公里</v>
      </c>
      <c r="E31">
        <f>'附件3 规划内'!E136</f>
        <v>2</v>
      </c>
      <c r="F31">
        <f>'附件3 规划内'!F136</f>
        <v>2</v>
      </c>
      <c r="G31">
        <f>'附件3 规划内'!G136</f>
        <v>0</v>
      </c>
      <c r="H31">
        <f>'附件3 规划内'!H136</f>
        <v>0</v>
      </c>
      <c r="I31" t="str">
        <f>'附件3 规划内'!I136</f>
        <v>完工</v>
      </c>
      <c r="J31">
        <f>'附件3 规划内'!J136</f>
        <v>2</v>
      </c>
      <c r="K31" t="str">
        <f>'附件3 规划内'!K136</f>
        <v/>
      </c>
      <c r="L31">
        <f>'附件3 规划内'!L136</f>
        <v>0</v>
      </c>
      <c r="M31" s="26">
        <f>'附件3 规划内'!M136</f>
        <v>44440</v>
      </c>
      <c r="N31" s="26">
        <f>'附件3 规划内'!N136</f>
        <v>44499</v>
      </c>
      <c r="O31" t="str">
        <f>'附件3 规划内'!O136</f>
        <v>市乡村振兴局</v>
      </c>
      <c r="P31" t="str">
        <f>'附件3 规划内'!P136</f>
        <v>祥符区</v>
      </c>
      <c r="Q31">
        <f>'附件3 规划内'!Q136</f>
        <v>0</v>
      </c>
      <c r="R31">
        <f>'附件3 规划内'!R136</f>
        <v>0</v>
      </c>
      <c r="T31">
        <f>'附件4 规划外'!A119</f>
        <v>132</v>
      </c>
      <c r="U31" t="str">
        <f>'附件4 规划外'!B119</f>
        <v>祥符区区发投国投建投国储林、苗圃受损</v>
      </c>
      <c r="V31" t="str">
        <f>'附件4 规划外'!C119</f>
        <v>林业</v>
      </c>
      <c r="W31" t="str">
        <f>'附件4 规划外'!D119</f>
        <v>发投连霍高速国家储备林项目的国槐、女贞、栾树、开港大道、开杞路，五个高速下站口、五十公里廊道及晋开南国储林基地400亩受灾损毁的修复及道路路边沟等基础设施的损毁；国投公司生态廊道、沿黄草业带及林业支持村集体经济发展等项目共100亩受灾损毁的清理及修复</v>
      </c>
      <c r="X31">
        <f>'附件4 规划外'!E119</f>
        <v>500</v>
      </c>
      <c r="Y31">
        <f>'附件4 规划外'!F119</f>
        <v>279</v>
      </c>
      <c r="Z31">
        <f>'附件4 规划外'!G119</f>
        <v>221</v>
      </c>
      <c r="AA31">
        <f>'附件4 规划外'!H119</f>
        <v>0</v>
      </c>
      <c r="AB31" t="str">
        <f>'附件4 规划外'!I119</f>
        <v>完工</v>
      </c>
      <c r="AC31">
        <f>'附件4 规划外'!J119</f>
        <v>500</v>
      </c>
      <c r="AD31">
        <f>'附件4 规划外'!K119</f>
        <v>221</v>
      </c>
      <c r="AE31" t="str">
        <f>'附件4 规划外'!L119</f>
        <v>已完成</v>
      </c>
      <c r="AF31" s="26">
        <f>'附件4 规划外'!M119</f>
        <v>44515</v>
      </c>
      <c r="AG31" s="26">
        <f>'附件4 规划外'!N119</f>
        <v>44926</v>
      </c>
      <c r="AH31" t="str">
        <f>'附件4 规划外'!O119</f>
        <v>市林业局</v>
      </c>
      <c r="AI31" t="str">
        <f>'附件4 规划外'!P119</f>
        <v>祥符区</v>
      </c>
      <c r="AJ31">
        <f>'附件4 规划外'!Q119</f>
        <v>0</v>
      </c>
      <c r="AK31">
        <f>'附件4 规划外'!R119</f>
        <v>0</v>
      </c>
    </row>
    <row r="32" spans="1:37">
      <c r="A32">
        <f>'附件3 规划内'!A137</f>
        <v>136</v>
      </c>
      <c r="B32" t="str">
        <f>'附件3 规划内'!B137</f>
        <v>刘店乡西租良村内道路建设项目</v>
      </c>
      <c r="C32" t="str">
        <f>'附件3 规划内'!C137</f>
        <v>乡村振兴</v>
      </c>
      <c r="D32" t="str">
        <f>'附件3 规划内'!D137</f>
        <v>通村道路0.8公里</v>
      </c>
      <c r="E32">
        <f>'附件3 规划内'!E137</f>
        <v>6</v>
      </c>
      <c r="F32">
        <f>'附件3 规划内'!F137</f>
        <v>6</v>
      </c>
      <c r="G32">
        <f>'附件3 规划内'!G137</f>
        <v>0</v>
      </c>
      <c r="H32">
        <f>'附件3 规划内'!H137</f>
        <v>0</v>
      </c>
      <c r="I32" t="str">
        <f>'附件3 规划内'!I137</f>
        <v>完工</v>
      </c>
      <c r="J32">
        <f>'附件3 规划内'!J137</f>
        <v>6</v>
      </c>
      <c r="K32" t="str">
        <f>'附件3 规划内'!K137</f>
        <v/>
      </c>
      <c r="L32">
        <f>'附件3 规划内'!L137</f>
        <v>0</v>
      </c>
      <c r="M32" s="26">
        <f>'附件3 规划内'!M137</f>
        <v>44470</v>
      </c>
      <c r="N32" s="26">
        <f>'附件3 规划内'!N137</f>
        <v>44560</v>
      </c>
      <c r="O32" t="str">
        <f>'附件3 规划内'!O137</f>
        <v>市乡村振兴局</v>
      </c>
      <c r="P32" t="str">
        <f>'附件3 规划内'!P137</f>
        <v>祥符区</v>
      </c>
      <c r="Q32">
        <f>'附件3 规划内'!Q137</f>
        <v>0</v>
      </c>
      <c r="R32">
        <f>'附件3 规划内'!R137</f>
        <v>0</v>
      </c>
      <c r="T32">
        <f>'附件4 规划外'!A120</f>
        <v>133</v>
      </c>
      <c r="U32" t="str">
        <f>'附件4 规划外'!B120</f>
        <v>开封〇二一八粮油储备有限公司灾后异地重建项目</v>
      </c>
      <c r="V32" t="str">
        <f>'附件4 规划外'!C120</f>
        <v>粮食储备</v>
      </c>
      <c r="W32" t="str">
        <f>'附件4 规划外'!D120</f>
        <v>1.规划土地65亩
2.标准散装粮房式仓5万吨，5万吨*600万元/万吨=3000万元
3.办公及职工宿舍2200平方米。
4.地坪
5.围墙，大门，门卫室</v>
      </c>
      <c r="X32">
        <f>'附件4 规划外'!E120</f>
        <v>3600</v>
      </c>
      <c r="Y32">
        <f>'附件4 规划外'!F120</f>
        <v>30</v>
      </c>
      <c r="Z32">
        <f>'附件4 规划外'!G120</f>
        <v>3570</v>
      </c>
      <c r="AA32">
        <f>'附件4 规划外'!H120</f>
        <v>0</v>
      </c>
      <c r="AB32" t="str">
        <f>'附件4 规划外'!I120</f>
        <v>完工</v>
      </c>
      <c r="AC32">
        <f>'附件4 规划外'!J120</f>
        <v>3600</v>
      </c>
      <c r="AD32">
        <f>'附件4 规划外'!K120</f>
        <v>3570</v>
      </c>
      <c r="AE32" t="str">
        <f>'附件4 规划外'!L120</f>
        <v>开封0二一八粮油储备有限公司与开封金麦粮油有限公司于2021年7月31日签订资产转让合同，0218公司以4150万元购买金麦粮油全部资产。</v>
      </c>
      <c r="AF32" s="26">
        <f>'附件4 规划外'!M120</f>
        <v>44440</v>
      </c>
      <c r="AG32" s="26">
        <f>'附件4 规划外'!N120</f>
        <v>45536</v>
      </c>
      <c r="AH32" t="str">
        <f>'附件4 规划外'!O120</f>
        <v>市粮食和储备局</v>
      </c>
      <c r="AI32" t="str">
        <f>'附件4 规划外'!P120</f>
        <v>祥符区</v>
      </c>
      <c r="AJ32">
        <f>'附件4 规划外'!Q120</f>
        <v>0</v>
      </c>
      <c r="AK32">
        <f>'附件4 规划外'!R120</f>
        <v>0</v>
      </c>
    </row>
    <row r="33" spans="1:37">
      <c r="A33">
        <f>'附件3 规划内'!A138</f>
        <v>137</v>
      </c>
      <c r="B33" t="str">
        <f>'附件3 规划内'!B138</f>
        <v>2017年袁坊乡毛庄村村内道路建设项目</v>
      </c>
      <c r="C33" t="str">
        <f>'附件3 规划内'!C138</f>
        <v>乡村振兴</v>
      </c>
      <c r="D33" t="str">
        <f>'附件3 规划内'!D138</f>
        <v>通村道路0.17公里</v>
      </c>
      <c r="E33">
        <f>'附件3 规划内'!E138</f>
        <v>3</v>
      </c>
      <c r="F33">
        <f>'附件3 规划内'!F138</f>
        <v>3</v>
      </c>
      <c r="G33">
        <f>'附件3 规划内'!G138</f>
        <v>0</v>
      </c>
      <c r="H33">
        <f>'附件3 规划内'!H138</f>
        <v>0</v>
      </c>
      <c r="I33" t="str">
        <f>'附件3 规划内'!I138</f>
        <v>完工</v>
      </c>
      <c r="J33">
        <f>'附件3 规划内'!J138</f>
        <v>3</v>
      </c>
      <c r="K33" t="str">
        <f>'附件3 规划内'!K138</f>
        <v/>
      </c>
      <c r="L33">
        <f>'附件3 规划内'!L138</f>
        <v>0</v>
      </c>
      <c r="M33" s="26">
        <f>'附件3 规划内'!M138</f>
        <v>44440</v>
      </c>
      <c r="N33" s="26">
        <f>'附件3 规划内'!N138</f>
        <v>44499</v>
      </c>
      <c r="O33" t="str">
        <f>'附件3 规划内'!O138</f>
        <v>市乡村振兴局</v>
      </c>
      <c r="P33" t="str">
        <f>'附件3 规划内'!P138</f>
        <v>祥符区</v>
      </c>
      <c r="Q33">
        <f>'附件3 规划内'!Q138</f>
        <v>0</v>
      </c>
      <c r="R33">
        <f>'附件3 规划内'!R138</f>
        <v>0</v>
      </c>
      <c r="T33">
        <f>'附件4 规划外'!A198</f>
        <v>211</v>
      </c>
      <c r="U33" t="str">
        <f>'附件4 规划外'!B198</f>
        <v>祥符区铁底河(北支段)治理工</v>
      </c>
      <c r="V33" t="str">
        <f>'附件4 规划外'!C198</f>
        <v>其他</v>
      </c>
      <c r="W33" t="str">
        <f>'附件4 规划外'!D198</f>
        <v>河道清淤13.2公里，拆除重建建筑物17座</v>
      </c>
      <c r="X33">
        <f>'附件4 规划外'!E198</f>
        <v>923</v>
      </c>
      <c r="Y33">
        <f>'附件4 规划外'!F198</f>
        <v>0</v>
      </c>
      <c r="Z33">
        <f>'附件4 规划外'!G198</f>
        <v>738</v>
      </c>
      <c r="AA33">
        <f>'附件4 规划外'!H198</f>
        <v>0</v>
      </c>
      <c r="AB33" t="str">
        <f>'附件4 规划外'!I198</f>
        <v>在建</v>
      </c>
      <c r="AC33">
        <f>'附件4 规划外'!J198</f>
        <v>680</v>
      </c>
      <c r="AD33">
        <f>'附件4 规划外'!K198</f>
        <v>680</v>
      </c>
      <c r="AE33">
        <f>'附件4 规划外'!L198</f>
        <v>0</v>
      </c>
      <c r="AF33">
        <f>'附件4 规划外'!M198</f>
        <v>44652</v>
      </c>
      <c r="AG33">
        <f>'附件4 规划外'!N198</f>
        <v>45078</v>
      </c>
      <c r="AH33" t="str">
        <f>'附件4 规划外'!O198</f>
        <v>市水利局</v>
      </c>
      <c r="AI33" t="str">
        <f>'附件4 规划外'!P198</f>
        <v>祥符区</v>
      </c>
      <c r="AJ33">
        <f>'附件4 规划外'!Q198</f>
        <v>0</v>
      </c>
      <c r="AK33">
        <f>'附件4 规划外'!R198</f>
        <v>0</v>
      </c>
    </row>
    <row r="34" spans="1:37">
      <c r="A34">
        <f>'附件3 规划内'!A139</f>
        <v>138</v>
      </c>
      <c r="B34" t="str">
        <f>'附件3 规划内'!B139</f>
        <v>袁坊乡张吴寨村村内道路建设项目</v>
      </c>
      <c r="C34" t="str">
        <f>'附件3 规划内'!C139</f>
        <v>乡村振兴</v>
      </c>
      <c r="D34" t="str">
        <f>'附件3 规划内'!D139</f>
        <v>通村道路1公里</v>
      </c>
      <c r="E34">
        <f>'附件3 规划内'!E139</f>
        <v>10</v>
      </c>
      <c r="F34">
        <f>'附件3 规划内'!F139</f>
        <v>10</v>
      </c>
      <c r="G34">
        <f>'附件3 规划内'!G139</f>
        <v>0</v>
      </c>
      <c r="H34">
        <f>'附件3 规划内'!H139</f>
        <v>0</v>
      </c>
      <c r="I34" t="str">
        <f>'附件3 规划内'!I139</f>
        <v>完工</v>
      </c>
      <c r="J34">
        <f>'附件3 规划内'!J139</f>
        <v>10</v>
      </c>
      <c r="K34" t="str">
        <f>'附件3 规划内'!K139</f>
        <v/>
      </c>
      <c r="L34">
        <f>'附件3 规划内'!L139</f>
        <v>0</v>
      </c>
      <c r="M34" s="26">
        <f>'附件3 规划内'!M139</f>
        <v>44440</v>
      </c>
      <c r="N34" s="26">
        <f>'附件3 规划内'!N139</f>
        <v>44499</v>
      </c>
      <c r="O34" t="str">
        <f>'附件3 规划内'!O139</f>
        <v>市乡村振兴局</v>
      </c>
      <c r="P34" t="str">
        <f>'附件3 规划内'!P139</f>
        <v>祥符区</v>
      </c>
      <c r="Q34">
        <f>'附件3 规划内'!Q139</f>
        <v>0</v>
      </c>
      <c r="R34">
        <f>'附件3 规划内'!R139</f>
        <v>0</v>
      </c>
      <c r="T34">
        <f>'附件4 规划外'!A203</f>
        <v>216</v>
      </c>
      <c r="U34" t="str">
        <f>'附件4 规划外'!B203</f>
        <v>祥符区水资源节约管理与保护</v>
      </c>
      <c r="V34" t="str">
        <f>'附件4 规划外'!C203</f>
        <v>其他</v>
      </c>
      <c r="W34" t="str">
        <f>'附件4 规划外'!D203</f>
        <v>规模以上取水在线计量设施新建或改建</v>
      </c>
      <c r="X34">
        <f>'附件4 规划外'!E203</f>
        <v>20</v>
      </c>
      <c r="Y34">
        <f>'附件4 规划外'!F203</f>
        <v>0</v>
      </c>
      <c r="Z34">
        <f>'附件4 规划外'!G203</f>
        <v>20</v>
      </c>
      <c r="AA34">
        <f>'附件4 规划外'!H203</f>
        <v>0</v>
      </c>
      <c r="AB34" t="str">
        <f>'附件4 规划外'!I203</f>
        <v>完工</v>
      </c>
      <c r="AC34">
        <f>'附件4 规划外'!J203</f>
        <v>20</v>
      </c>
      <c r="AD34">
        <f>'附件4 规划外'!K203</f>
        <v>20</v>
      </c>
      <c r="AE34">
        <f>'附件4 规划外'!L203</f>
        <v>0</v>
      </c>
      <c r="AF34">
        <f>'附件4 规划外'!M203</f>
        <v>44682</v>
      </c>
      <c r="AG34">
        <f>'附件4 规划外'!N203</f>
        <v>44713</v>
      </c>
      <c r="AH34" t="str">
        <f>'附件4 规划外'!O203</f>
        <v>市水利局</v>
      </c>
      <c r="AI34" t="str">
        <f>'附件4 规划外'!P203</f>
        <v>祥符区</v>
      </c>
      <c r="AJ34">
        <f>'附件4 规划外'!Q203</f>
        <v>0</v>
      </c>
      <c r="AK34">
        <f>'附件4 规划外'!R203</f>
        <v>0</v>
      </c>
    </row>
    <row r="35" spans="1:37">
      <c r="A35">
        <f>'附件3 规划内'!A140</f>
        <v>139</v>
      </c>
      <c r="B35" t="str">
        <f>'附件3 规划内'!B140</f>
        <v>2017年袁坊乡付东村村内道路建设项目</v>
      </c>
      <c r="C35" t="str">
        <f>'附件3 规划内'!C140</f>
        <v>乡村振兴</v>
      </c>
      <c r="D35" t="str">
        <f>'附件3 规划内'!D140</f>
        <v>通村道路0.14公里</v>
      </c>
      <c r="E35">
        <f>'附件3 规划内'!E140</f>
        <v>2.5</v>
      </c>
      <c r="F35">
        <f>'附件3 规划内'!F140</f>
        <v>2.5</v>
      </c>
      <c r="G35">
        <f>'附件3 规划内'!G140</f>
        <v>0</v>
      </c>
      <c r="H35">
        <f>'附件3 规划内'!H140</f>
        <v>0</v>
      </c>
      <c r="I35" t="str">
        <f>'附件3 规划内'!I140</f>
        <v>完工</v>
      </c>
      <c r="J35">
        <f>'附件3 规划内'!J140</f>
        <v>2.5</v>
      </c>
      <c r="K35" t="str">
        <f>'附件3 规划内'!K140</f>
        <v/>
      </c>
      <c r="L35">
        <f>'附件3 规划内'!L140</f>
        <v>0</v>
      </c>
      <c r="M35" s="26">
        <f>'附件3 规划内'!M140</f>
        <v>44440</v>
      </c>
      <c r="N35" s="26">
        <f>'附件3 规划内'!N140</f>
        <v>44499</v>
      </c>
      <c r="O35" t="str">
        <f>'附件3 规划内'!O140</f>
        <v>市乡村振兴局</v>
      </c>
      <c r="P35" t="str">
        <f>'附件3 规划内'!P140</f>
        <v>祥符区</v>
      </c>
      <c r="Q35">
        <f>'附件3 规划内'!Q140</f>
        <v>0</v>
      </c>
      <c r="R35">
        <f>'附件3 规划内'!R140</f>
        <v>0</v>
      </c>
      <c r="T35">
        <f>'附件4 规划外'!A209</f>
        <v>222</v>
      </c>
      <c r="U35" t="str">
        <f>'附件4 规划外'!B209</f>
        <v>祥符区农村饮水工程维修养护</v>
      </c>
      <c r="V35" t="str">
        <f>'附件4 规划外'!C209</f>
        <v>其他</v>
      </c>
      <c r="W35" t="str">
        <f>'附件4 规划外'!D209</f>
        <v>洗井 4 眼，钢管滤水管维修 4 处，更换 HDPEφ75×1.25Mpa管道 840m，更换 HDPEφ160×1.0Mpa 管道 150m等</v>
      </c>
      <c r="X35">
        <f>'附件4 规划外'!E209</f>
        <v>275</v>
      </c>
      <c r="Y35">
        <f>'附件4 规划外'!F209</f>
        <v>0</v>
      </c>
      <c r="Z35">
        <f>'附件4 规划外'!G209</f>
        <v>275</v>
      </c>
      <c r="AA35">
        <f>'附件4 规划外'!H209</f>
        <v>0</v>
      </c>
      <c r="AB35" t="str">
        <f>'附件4 规划外'!I209</f>
        <v>完工</v>
      </c>
      <c r="AC35">
        <f>'附件4 规划外'!J209</f>
        <v>275</v>
      </c>
      <c r="AD35">
        <f>'附件4 规划外'!K209</f>
        <v>275</v>
      </c>
      <c r="AE35">
        <f>'附件4 规划外'!L209</f>
        <v>0</v>
      </c>
      <c r="AF35">
        <f>'附件4 规划外'!M209</f>
        <v>44682</v>
      </c>
      <c r="AG35">
        <f>'附件4 规划外'!N209</f>
        <v>44713</v>
      </c>
      <c r="AH35" t="str">
        <f>'附件4 规划外'!O209</f>
        <v>市水利局</v>
      </c>
      <c r="AI35" t="str">
        <f>'附件4 规划外'!P209</f>
        <v>祥符区</v>
      </c>
      <c r="AJ35">
        <f>'附件4 规划外'!Q209</f>
        <v>0</v>
      </c>
      <c r="AK35">
        <f>'附件4 规划外'!R209</f>
        <v>0</v>
      </c>
    </row>
    <row r="36" spans="1:18">
      <c r="A36">
        <f>'附件3 规划内'!A141</f>
        <v>140</v>
      </c>
      <c r="B36" t="str">
        <f>'附件3 规划内'!B141</f>
        <v>2018袁坊乡方庄村村内道路</v>
      </c>
      <c r="C36" t="str">
        <f>'附件3 规划内'!C141</f>
        <v>乡村振兴</v>
      </c>
      <c r="D36" t="str">
        <f>'附件3 规划内'!D141</f>
        <v>通村道路0.6公里</v>
      </c>
      <c r="E36">
        <f>'附件3 规划内'!E141</f>
        <v>1</v>
      </c>
      <c r="F36">
        <f>'附件3 规划内'!F141</f>
        <v>1</v>
      </c>
      <c r="G36">
        <f>'附件3 规划内'!G141</f>
        <v>0</v>
      </c>
      <c r="H36">
        <f>'附件3 规划内'!H141</f>
        <v>0</v>
      </c>
      <c r="I36" t="str">
        <f>'附件3 规划内'!I141</f>
        <v>完工</v>
      </c>
      <c r="J36">
        <f>'附件3 规划内'!J141</f>
        <v>1</v>
      </c>
      <c r="K36" t="str">
        <f>'附件3 规划内'!K141</f>
        <v/>
      </c>
      <c r="L36">
        <f>'附件3 规划内'!L141</f>
        <v>0</v>
      </c>
      <c r="M36" s="26">
        <f>'附件3 规划内'!M141</f>
        <v>44440</v>
      </c>
      <c r="N36" s="26">
        <f>'附件3 规划内'!N141</f>
        <v>44499</v>
      </c>
      <c r="O36" t="str">
        <f>'附件3 规划内'!O141</f>
        <v>市乡村振兴局</v>
      </c>
      <c r="P36" t="str">
        <f>'附件3 规划内'!P141</f>
        <v>祥符区</v>
      </c>
      <c r="Q36">
        <f>'附件3 规划内'!Q141</f>
        <v>0</v>
      </c>
      <c r="R36">
        <f>'附件3 规划内'!R141</f>
        <v>0</v>
      </c>
    </row>
    <row r="37" spans="1:18">
      <c r="A37">
        <f>'附件3 规划内'!A142</f>
        <v>141</v>
      </c>
      <c r="B37" t="str">
        <f>'附件3 规划内'!B142</f>
        <v>袁坊乡前孙富庄村内道路</v>
      </c>
      <c r="C37" t="str">
        <f>'附件3 规划内'!C142</f>
        <v>乡村振兴</v>
      </c>
      <c r="D37" t="str">
        <f>'附件3 规划内'!D142</f>
        <v>通村道路0.02公里</v>
      </c>
      <c r="E37">
        <f>'附件3 规划内'!E142</f>
        <v>0.08</v>
      </c>
      <c r="F37">
        <f>'附件3 规划内'!F142</f>
        <v>0.08</v>
      </c>
      <c r="G37">
        <f>'附件3 规划内'!G142</f>
        <v>0</v>
      </c>
      <c r="H37">
        <f>'附件3 规划内'!H142</f>
        <v>0</v>
      </c>
      <c r="I37" t="str">
        <f>'附件3 规划内'!I142</f>
        <v>完工</v>
      </c>
      <c r="J37">
        <f>'附件3 规划内'!J142</f>
        <v>0.08</v>
      </c>
      <c r="K37" t="str">
        <f>'附件3 规划内'!K142</f>
        <v/>
      </c>
      <c r="L37">
        <f>'附件3 规划内'!L142</f>
        <v>0</v>
      </c>
      <c r="M37" s="26">
        <f>'附件3 规划内'!M142</f>
        <v>44440</v>
      </c>
      <c r="N37" s="26">
        <f>'附件3 规划内'!N142</f>
        <v>44499</v>
      </c>
      <c r="O37" t="str">
        <f>'附件3 规划内'!O142</f>
        <v>市乡村振兴局</v>
      </c>
      <c r="P37" t="str">
        <f>'附件3 规划内'!P142</f>
        <v>祥符区</v>
      </c>
      <c r="Q37">
        <f>'附件3 规划内'!Q142</f>
        <v>0</v>
      </c>
      <c r="R37">
        <f>'附件3 规划内'!R142</f>
        <v>0</v>
      </c>
    </row>
    <row r="38" spans="1:18">
      <c r="A38">
        <f>'附件3 规划内'!A143</f>
        <v>142</v>
      </c>
      <c r="B38" t="str">
        <f>'附件3 规划内'!B143</f>
        <v>2018袁坊乡后孙富庄村内道路</v>
      </c>
      <c r="C38" t="str">
        <f>'附件3 规划内'!C143</f>
        <v>乡村振兴</v>
      </c>
      <c r="D38" t="str">
        <f>'附件3 规划内'!D143</f>
        <v>通村道路0.03公里</v>
      </c>
      <c r="E38">
        <f>'附件3 规划内'!E143</f>
        <v>0.4</v>
      </c>
      <c r="F38">
        <f>'附件3 规划内'!F143</f>
        <v>0.4</v>
      </c>
      <c r="G38">
        <f>'附件3 规划内'!G143</f>
        <v>0</v>
      </c>
      <c r="H38">
        <f>'附件3 规划内'!H143</f>
        <v>0</v>
      </c>
      <c r="I38" t="str">
        <f>'附件3 规划内'!I143</f>
        <v>完工</v>
      </c>
      <c r="J38">
        <f>'附件3 规划内'!J143</f>
        <v>0.4</v>
      </c>
      <c r="K38" t="str">
        <f>'附件3 规划内'!K143</f>
        <v/>
      </c>
      <c r="L38">
        <f>'附件3 规划内'!L143</f>
        <v>0</v>
      </c>
      <c r="M38" s="26">
        <f>'附件3 规划内'!M143</f>
        <v>44440</v>
      </c>
      <c r="N38" s="26">
        <f>'附件3 规划内'!N143</f>
        <v>44499</v>
      </c>
      <c r="O38" t="str">
        <f>'附件3 规划内'!O143</f>
        <v>市乡村振兴局</v>
      </c>
      <c r="P38" t="str">
        <f>'附件3 规划内'!P143</f>
        <v>祥符区</v>
      </c>
      <c r="Q38">
        <f>'附件3 规划内'!Q143</f>
        <v>0</v>
      </c>
      <c r="R38">
        <f>'附件3 规划内'!R143</f>
        <v>0</v>
      </c>
    </row>
    <row r="39" spans="1:18">
      <c r="A39">
        <f>'附件3 规划内'!A144</f>
        <v>143</v>
      </c>
      <c r="B39" t="str">
        <f>'附件3 规划内'!B144</f>
        <v>2019袁坊乡府君寺村贫困村提升工程村内道路</v>
      </c>
      <c r="C39" t="str">
        <f>'附件3 规划内'!C144</f>
        <v>乡村振兴</v>
      </c>
      <c r="D39" t="str">
        <f>'附件3 规划内'!D144</f>
        <v>通村道路0.12公里</v>
      </c>
      <c r="E39">
        <f>'附件3 规划内'!E144</f>
        <v>3</v>
      </c>
      <c r="F39">
        <f>'附件3 规划内'!F144</f>
        <v>3</v>
      </c>
      <c r="G39">
        <f>'附件3 规划内'!G144</f>
        <v>0</v>
      </c>
      <c r="H39">
        <f>'附件3 规划内'!H144</f>
        <v>0</v>
      </c>
      <c r="I39" t="str">
        <f>'附件3 规划内'!I144</f>
        <v>完工</v>
      </c>
      <c r="J39">
        <f>'附件3 规划内'!J144</f>
        <v>3</v>
      </c>
      <c r="K39" t="str">
        <f>'附件3 规划内'!K144</f>
        <v/>
      </c>
      <c r="L39">
        <f>'附件3 规划内'!L144</f>
        <v>0</v>
      </c>
      <c r="M39" s="26">
        <f>'附件3 规划内'!M144</f>
        <v>44440</v>
      </c>
      <c r="N39" s="26">
        <f>'附件3 规划内'!N144</f>
        <v>44499</v>
      </c>
      <c r="O39" t="str">
        <f>'附件3 规划内'!O144</f>
        <v>市乡村振兴局</v>
      </c>
      <c r="P39" t="str">
        <f>'附件3 规划内'!P144</f>
        <v>祥符区</v>
      </c>
      <c r="Q39">
        <f>'附件3 规划内'!Q144</f>
        <v>0</v>
      </c>
      <c r="R39">
        <f>'附件3 规划内'!R144</f>
        <v>0</v>
      </c>
    </row>
    <row r="40" spans="1:18">
      <c r="A40">
        <f>'附件3 规划内'!A145</f>
        <v>144</v>
      </c>
      <c r="B40" t="str">
        <f>'附件3 规划内'!B145</f>
        <v>杜良乡米砦村村内道路</v>
      </c>
      <c r="C40" t="str">
        <f>'附件3 规划内'!C145</f>
        <v>乡村振兴</v>
      </c>
      <c r="D40" t="str">
        <f>'附件3 规划内'!D145</f>
        <v>通村道路1公里</v>
      </c>
      <c r="E40">
        <f>'附件3 规划内'!E145</f>
        <v>5</v>
      </c>
      <c r="F40">
        <f>'附件3 规划内'!F145</f>
        <v>5</v>
      </c>
      <c r="G40">
        <f>'附件3 规划内'!G145</f>
        <v>0</v>
      </c>
      <c r="H40">
        <f>'附件3 规划内'!H145</f>
        <v>0</v>
      </c>
      <c r="I40" t="str">
        <f>'附件3 规划内'!I145</f>
        <v>完工</v>
      </c>
      <c r="J40">
        <f>'附件3 规划内'!J145</f>
        <v>5</v>
      </c>
      <c r="K40" t="str">
        <f>'附件3 规划内'!K145</f>
        <v/>
      </c>
      <c r="L40">
        <f>'附件3 规划内'!L145</f>
        <v>0</v>
      </c>
      <c r="M40" s="26">
        <f>'附件3 规划内'!M145</f>
        <v>44440</v>
      </c>
      <c r="N40" s="26">
        <f>'附件3 规划内'!N145</f>
        <v>44499</v>
      </c>
      <c r="O40" t="str">
        <f>'附件3 规划内'!O145</f>
        <v>市乡村振兴局</v>
      </c>
      <c r="P40" t="str">
        <f>'附件3 规划内'!P145</f>
        <v>祥符区</v>
      </c>
      <c r="Q40">
        <f>'附件3 规划内'!Q145</f>
        <v>0</v>
      </c>
      <c r="R40">
        <f>'附件3 规划内'!R145</f>
        <v>0</v>
      </c>
    </row>
    <row r="41" spans="1:18">
      <c r="A41">
        <f>'附件3 规划内'!A146</f>
        <v>145</v>
      </c>
      <c r="B41" t="str">
        <f>'附件3 规划内'!B146</f>
        <v>2018年西姜寨乡段木周村内道路</v>
      </c>
      <c r="C41" t="str">
        <f>'附件3 规划内'!C146</f>
        <v>乡村振兴</v>
      </c>
      <c r="D41" t="str">
        <f>'附件3 规划内'!D146</f>
        <v>通村道路5.33公里</v>
      </c>
      <c r="E41">
        <f>'附件3 规划内'!E146</f>
        <v>86.32</v>
      </c>
      <c r="F41">
        <f>'附件3 规划内'!F146</f>
        <v>86.32</v>
      </c>
      <c r="G41">
        <f>'附件3 规划内'!G146</f>
        <v>0</v>
      </c>
      <c r="H41">
        <f>'附件3 规划内'!H146</f>
        <v>0</v>
      </c>
      <c r="I41" t="str">
        <f>'附件3 规划内'!I146</f>
        <v>完工</v>
      </c>
      <c r="J41">
        <f>'附件3 规划内'!J146</f>
        <v>86.32</v>
      </c>
      <c r="K41" t="str">
        <f>'附件3 规划内'!K146</f>
        <v/>
      </c>
      <c r="L41">
        <f>'附件3 规划内'!L146</f>
        <v>0</v>
      </c>
      <c r="M41" s="26">
        <f>'附件3 规划内'!M146</f>
        <v>44440</v>
      </c>
      <c r="N41" s="26">
        <f>'附件3 规划内'!N146</f>
        <v>44499</v>
      </c>
      <c r="O41" t="str">
        <f>'附件3 规划内'!O146</f>
        <v>市乡村振兴局</v>
      </c>
      <c r="P41" t="str">
        <f>'附件3 规划内'!P146</f>
        <v>祥符区</v>
      </c>
      <c r="Q41">
        <f>'附件3 规划内'!Q146</f>
        <v>0</v>
      </c>
      <c r="R41">
        <f>'附件3 规划内'!R146</f>
        <v>0</v>
      </c>
    </row>
    <row r="42" spans="1:18">
      <c r="A42">
        <f>'附件3 规划内'!A147</f>
        <v>146</v>
      </c>
      <c r="B42" t="str">
        <f>'附件3 规划内'!B147</f>
        <v>2016年西姜寨乡李店村村内道路</v>
      </c>
      <c r="C42" t="str">
        <f>'附件3 规划内'!C147</f>
        <v>乡村振兴</v>
      </c>
      <c r="D42" t="str">
        <f>'附件3 规划内'!D147</f>
        <v>通村道路、下水道0.8公里、0.183公里</v>
      </c>
      <c r="E42">
        <f>'附件3 规划内'!E147</f>
        <v>50</v>
      </c>
      <c r="F42">
        <f>'附件3 规划内'!F147</f>
        <v>50</v>
      </c>
      <c r="G42">
        <f>'附件3 规划内'!G147</f>
        <v>0</v>
      </c>
      <c r="H42">
        <f>'附件3 规划内'!H147</f>
        <v>0</v>
      </c>
      <c r="I42" t="str">
        <f>'附件3 规划内'!I147</f>
        <v>完工</v>
      </c>
      <c r="J42">
        <f>'附件3 规划内'!J147</f>
        <v>50</v>
      </c>
      <c r="K42" t="str">
        <f>'附件3 规划内'!K147</f>
        <v/>
      </c>
      <c r="L42">
        <f>'附件3 规划内'!L147</f>
        <v>0</v>
      </c>
      <c r="M42" s="26">
        <f>'附件3 规划内'!M147</f>
        <v>44440</v>
      </c>
      <c r="N42" s="26">
        <f>'附件3 规划内'!N147</f>
        <v>44499</v>
      </c>
      <c r="O42" t="str">
        <f>'附件3 规划内'!O147</f>
        <v>市乡村振兴局</v>
      </c>
      <c r="P42" t="str">
        <f>'附件3 规划内'!P147</f>
        <v>祥符区</v>
      </c>
      <c r="Q42">
        <f>'附件3 规划内'!Q147</f>
        <v>0</v>
      </c>
      <c r="R42">
        <f>'附件3 规划内'!R147</f>
        <v>0</v>
      </c>
    </row>
    <row r="43" spans="1:18">
      <c r="A43">
        <f>'附件3 规划内'!A148</f>
        <v>147</v>
      </c>
      <c r="B43" t="str">
        <f>'附件3 规划内'!B148</f>
        <v>2016年西姜寨乡白庄村村内道路</v>
      </c>
      <c r="C43" t="str">
        <f>'附件3 规划内'!C148</f>
        <v>乡村振兴</v>
      </c>
      <c r="D43" t="str">
        <f>'附件3 规划内'!D148</f>
        <v>通村道路2.3公里</v>
      </c>
      <c r="E43">
        <f>'附件3 规划内'!E148</f>
        <v>46</v>
      </c>
      <c r="F43">
        <f>'附件3 规划内'!F148</f>
        <v>46</v>
      </c>
      <c r="G43">
        <f>'附件3 规划内'!G148</f>
        <v>0</v>
      </c>
      <c r="H43">
        <f>'附件3 规划内'!H148</f>
        <v>0</v>
      </c>
      <c r="I43" t="str">
        <f>'附件3 规划内'!I148</f>
        <v>完工</v>
      </c>
      <c r="J43">
        <f>'附件3 规划内'!J148</f>
        <v>46</v>
      </c>
      <c r="K43" t="str">
        <f>'附件3 规划内'!K148</f>
        <v/>
      </c>
      <c r="L43">
        <f>'附件3 规划内'!L148</f>
        <v>0</v>
      </c>
      <c r="M43" s="26">
        <f>'附件3 规划内'!M148</f>
        <v>44440</v>
      </c>
      <c r="N43" s="26">
        <f>'附件3 规划内'!N148</f>
        <v>44499</v>
      </c>
      <c r="O43" t="str">
        <f>'附件3 规划内'!O148</f>
        <v>市乡村振兴局</v>
      </c>
      <c r="P43" t="str">
        <f>'附件3 规划内'!P148</f>
        <v>祥符区</v>
      </c>
      <c r="Q43">
        <f>'附件3 规划内'!Q148</f>
        <v>0</v>
      </c>
      <c r="R43">
        <f>'附件3 规划内'!R148</f>
        <v>0</v>
      </c>
    </row>
    <row r="44" spans="1:18">
      <c r="A44">
        <f>'附件3 规划内'!A149</f>
        <v>148</v>
      </c>
      <c r="B44" t="str">
        <f>'附件3 规划内'!B149</f>
        <v>2018年市派第一书记专项扶贫刘店乡束庄村资金（路灯）</v>
      </c>
      <c r="C44" t="str">
        <f>'附件3 规划内'!C149</f>
        <v>乡村振兴</v>
      </c>
      <c r="D44" t="str">
        <f>'附件3 规划内'!D149</f>
        <v>路灯15盏</v>
      </c>
      <c r="E44">
        <f>'附件3 规划内'!E149</f>
        <v>1.5</v>
      </c>
      <c r="F44">
        <f>'附件3 规划内'!F149</f>
        <v>1.5</v>
      </c>
      <c r="G44">
        <f>'附件3 规划内'!G149</f>
        <v>0</v>
      </c>
      <c r="H44">
        <f>'附件3 规划内'!H149</f>
        <v>0</v>
      </c>
      <c r="I44" t="str">
        <f>'附件3 规划内'!I149</f>
        <v>完工</v>
      </c>
      <c r="J44">
        <f>'附件3 规划内'!J149</f>
        <v>1.5</v>
      </c>
      <c r="K44" t="str">
        <f>'附件3 规划内'!K149</f>
        <v/>
      </c>
      <c r="L44">
        <f>'附件3 规划内'!L149</f>
        <v>0</v>
      </c>
      <c r="M44" s="26">
        <f>'附件3 规划内'!M149</f>
        <v>44501</v>
      </c>
      <c r="N44" s="26">
        <f>'附件3 规划内'!N149</f>
        <v>44560</v>
      </c>
      <c r="O44" t="str">
        <f>'附件3 规划内'!O149</f>
        <v>市乡村振兴局</v>
      </c>
      <c r="P44" t="str">
        <f>'附件3 规划内'!P149</f>
        <v>祥符区</v>
      </c>
      <c r="Q44">
        <f>'附件3 规划内'!Q149</f>
        <v>0</v>
      </c>
      <c r="R44">
        <f>'附件3 规划内'!R149</f>
        <v>0</v>
      </c>
    </row>
    <row r="45" spans="1:18">
      <c r="A45">
        <f>'附件3 规划内'!A150</f>
        <v>149</v>
      </c>
      <c r="B45" t="str">
        <f>'附件3 规划内'!B150</f>
        <v>2017年袁坊乡付东村扶贫车间建设项目</v>
      </c>
      <c r="C45" t="str">
        <f>'附件3 规划内'!C150</f>
        <v>乡村振兴</v>
      </c>
      <c r="D45" t="str">
        <f>'附件3 规划内'!D150</f>
        <v>扶贫车间200平方</v>
      </c>
      <c r="E45">
        <f>'附件3 规划内'!E150</f>
        <v>5</v>
      </c>
      <c r="F45">
        <f>'附件3 规划内'!F150</f>
        <v>5</v>
      </c>
      <c r="G45">
        <f>'附件3 规划内'!G150</f>
        <v>0</v>
      </c>
      <c r="H45">
        <f>'附件3 规划内'!H150</f>
        <v>0</v>
      </c>
      <c r="I45" t="str">
        <f>'附件3 规划内'!I150</f>
        <v>完工</v>
      </c>
      <c r="J45">
        <f>'附件3 规划内'!J150</f>
        <v>5</v>
      </c>
      <c r="K45" t="str">
        <f>'附件3 规划内'!K150</f>
        <v/>
      </c>
      <c r="L45">
        <f>'附件3 规划内'!L150</f>
        <v>0</v>
      </c>
      <c r="M45" s="26">
        <f>'附件3 规划内'!M150</f>
        <v>44440</v>
      </c>
      <c r="N45" s="26">
        <f>'附件3 规划内'!N150</f>
        <v>44499</v>
      </c>
      <c r="O45" t="str">
        <f>'附件3 规划内'!O150</f>
        <v>市乡村振兴局</v>
      </c>
      <c r="P45" t="str">
        <f>'附件3 规划内'!P150</f>
        <v>祥符区</v>
      </c>
      <c r="Q45">
        <f>'附件3 规划内'!Q150</f>
        <v>0</v>
      </c>
      <c r="R45">
        <f>'附件3 规划内'!R150</f>
        <v>0</v>
      </c>
    </row>
    <row r="46" spans="1:18">
      <c r="A46">
        <f>'附件3 规划内'!A151</f>
        <v>150</v>
      </c>
      <c r="B46" t="str">
        <f>'附件3 规划内'!B151</f>
        <v>2017年兴隆乡李大河村扶贫车间建设项目</v>
      </c>
      <c r="C46" t="str">
        <f>'附件3 规划内'!C151</f>
        <v>乡村振兴</v>
      </c>
      <c r="D46" t="str">
        <f>'附件3 规划内'!D151</f>
        <v>扶贫车间15平方</v>
      </c>
      <c r="E46">
        <f>'附件3 规划内'!E151</f>
        <v>3.5</v>
      </c>
      <c r="F46">
        <f>'附件3 规划内'!F151</f>
        <v>3.5</v>
      </c>
      <c r="G46">
        <f>'附件3 规划内'!G151</f>
        <v>0</v>
      </c>
      <c r="H46">
        <f>'附件3 规划内'!H151</f>
        <v>0</v>
      </c>
      <c r="I46" t="str">
        <f>'附件3 规划内'!I151</f>
        <v>完工</v>
      </c>
      <c r="J46">
        <f>'附件3 规划内'!J151</f>
        <v>3.5</v>
      </c>
      <c r="K46" t="str">
        <f>'附件3 规划内'!K151</f>
        <v/>
      </c>
      <c r="L46">
        <f>'附件3 规划内'!L151</f>
        <v>0</v>
      </c>
      <c r="M46" s="26">
        <f>'附件3 规划内'!M151</f>
        <v>44440</v>
      </c>
      <c r="N46" s="26">
        <f>'附件3 规划内'!N151</f>
        <v>44499</v>
      </c>
      <c r="O46" t="str">
        <f>'附件3 规划内'!O151</f>
        <v>市乡村振兴局</v>
      </c>
      <c r="P46" t="str">
        <f>'附件3 规划内'!P151</f>
        <v>祥符区</v>
      </c>
      <c r="Q46">
        <f>'附件3 规划内'!Q151</f>
        <v>0</v>
      </c>
      <c r="R46">
        <f>'附件3 规划内'!R151</f>
        <v>0</v>
      </c>
    </row>
    <row r="47" spans="1:18">
      <c r="A47">
        <f>'附件3 规划内'!A152</f>
        <v>151</v>
      </c>
      <c r="B47" t="str">
        <f>'附件3 规划内'!B152</f>
        <v>2017年袁坊乡毛庄村扶贫车间建设项目</v>
      </c>
      <c r="C47" t="str">
        <f>'附件3 规划内'!C152</f>
        <v>乡村振兴</v>
      </c>
      <c r="D47" t="str">
        <f>'附件3 规划内'!D152</f>
        <v>扶贫车间200平方</v>
      </c>
      <c r="E47">
        <f>'附件3 规划内'!E152</f>
        <v>5</v>
      </c>
      <c r="F47">
        <f>'附件3 规划内'!F152</f>
        <v>5</v>
      </c>
      <c r="G47">
        <f>'附件3 规划内'!G152</f>
        <v>0</v>
      </c>
      <c r="H47">
        <f>'附件3 规划内'!H152</f>
        <v>0</v>
      </c>
      <c r="I47" t="str">
        <f>'附件3 规划内'!I152</f>
        <v>完工</v>
      </c>
      <c r="J47">
        <f>'附件3 规划内'!J152</f>
        <v>5</v>
      </c>
      <c r="K47" t="str">
        <f>'附件3 规划内'!K152</f>
        <v/>
      </c>
      <c r="L47">
        <f>'附件3 规划内'!L152</f>
        <v>0</v>
      </c>
      <c r="M47" s="26">
        <f>'附件3 规划内'!M152</f>
        <v>44440</v>
      </c>
      <c r="N47" s="26">
        <f>'附件3 规划内'!N152</f>
        <v>44499</v>
      </c>
      <c r="O47" t="str">
        <f>'附件3 规划内'!O152</f>
        <v>市乡村振兴局</v>
      </c>
      <c r="P47" t="str">
        <f>'附件3 规划内'!P152</f>
        <v>祥符区</v>
      </c>
      <c r="Q47">
        <f>'附件3 规划内'!Q152</f>
        <v>0</v>
      </c>
      <c r="R47">
        <f>'附件3 规划内'!R152</f>
        <v>0</v>
      </c>
    </row>
    <row r="48" spans="1:18">
      <c r="A48">
        <f>'附件3 规划内'!A153</f>
        <v>152</v>
      </c>
      <c r="B48" t="str">
        <f>'附件3 规划内'!B153</f>
        <v>2017年八里湾镇闫呈岗村到户增收项目</v>
      </c>
      <c r="C48" t="str">
        <f>'附件3 规划内'!C153</f>
        <v>乡村振兴</v>
      </c>
      <c r="D48" t="str">
        <f>'附件3 规划内'!D153</f>
        <v>蔬菜大棚2个</v>
      </c>
      <c r="E48">
        <f>'附件3 规划内'!E153</f>
        <v>0.3</v>
      </c>
      <c r="F48">
        <f>'附件3 规划内'!F153</f>
        <v>0.3</v>
      </c>
      <c r="G48">
        <f>'附件3 规划内'!G153</f>
        <v>0</v>
      </c>
      <c r="H48">
        <f>'附件3 规划内'!H153</f>
        <v>0</v>
      </c>
      <c r="I48" t="str">
        <f>'附件3 规划内'!I153</f>
        <v>完工</v>
      </c>
      <c r="J48">
        <f>'附件3 规划内'!J153</f>
        <v>0.3</v>
      </c>
      <c r="K48" t="str">
        <f>'附件3 规划内'!K153</f>
        <v/>
      </c>
      <c r="L48">
        <f>'附件3 规划内'!L153</f>
        <v>0</v>
      </c>
      <c r="M48" s="26">
        <f>'附件3 规划内'!M153</f>
        <v>44440</v>
      </c>
      <c r="N48" s="26">
        <f>'附件3 规划内'!N153</f>
        <v>44499</v>
      </c>
      <c r="O48" t="str">
        <f>'附件3 规划内'!O153</f>
        <v>市乡村振兴局</v>
      </c>
      <c r="P48" t="str">
        <f>'附件3 规划内'!P153</f>
        <v>祥符区</v>
      </c>
      <c r="Q48">
        <f>'附件3 规划内'!Q153</f>
        <v>0</v>
      </c>
      <c r="R48">
        <f>'附件3 规划内'!R153</f>
        <v>0</v>
      </c>
    </row>
    <row r="49" spans="1:18">
      <c r="A49">
        <f>'附件3 规划内'!A154</f>
        <v>153</v>
      </c>
      <c r="B49" t="str">
        <f>'附件3 规划内'!B154</f>
        <v>2019年罗王乡翟庄村蔬菜大棚建设项目</v>
      </c>
      <c r="C49" t="str">
        <f>'附件3 规划内'!C154</f>
        <v>乡村振兴</v>
      </c>
      <c r="D49" t="str">
        <f>'附件3 规划内'!D154</f>
        <v>蔬菜大棚2个</v>
      </c>
      <c r="E49">
        <f>'附件3 规划内'!E154</f>
        <v>1</v>
      </c>
      <c r="F49">
        <f>'附件3 规划内'!F154</f>
        <v>1</v>
      </c>
      <c r="G49">
        <f>'附件3 规划内'!G154</f>
        <v>0</v>
      </c>
      <c r="H49">
        <f>'附件3 规划内'!H154</f>
        <v>0</v>
      </c>
      <c r="I49" t="str">
        <f>'附件3 规划内'!I154</f>
        <v>完工</v>
      </c>
      <c r="J49">
        <f>'附件3 规划内'!J154</f>
        <v>1</v>
      </c>
      <c r="K49" t="str">
        <f>'附件3 规划内'!K154</f>
        <v/>
      </c>
      <c r="L49">
        <f>'附件3 规划内'!L154</f>
        <v>0</v>
      </c>
      <c r="M49" s="26">
        <f>'附件3 规划内'!M154</f>
        <v>44501</v>
      </c>
      <c r="N49" s="26">
        <f>'附件3 规划内'!N154</f>
        <v>44560</v>
      </c>
      <c r="O49" t="str">
        <f>'附件3 规划内'!O154</f>
        <v>市乡村振兴局</v>
      </c>
      <c r="P49" t="str">
        <f>'附件3 规划内'!P154</f>
        <v>祥符区</v>
      </c>
      <c r="Q49">
        <f>'附件3 规划内'!Q154</f>
        <v>0</v>
      </c>
      <c r="R49">
        <f>'附件3 规划内'!R154</f>
        <v>0</v>
      </c>
    </row>
    <row r="50" spans="1:18">
      <c r="A50">
        <f>'附件3 规划内'!A155</f>
        <v>154</v>
      </c>
      <c r="B50" t="str">
        <f>'附件3 规划内'!B155</f>
        <v>2016年刘店村到户增收项目</v>
      </c>
      <c r="C50" t="str">
        <f>'附件3 规划内'!C155</f>
        <v>乡村振兴</v>
      </c>
      <c r="D50" t="str">
        <f>'附件3 规划内'!D155</f>
        <v>蔬菜大棚15个</v>
      </c>
      <c r="E50">
        <f>'附件3 规划内'!E155</f>
        <v>58</v>
      </c>
      <c r="F50">
        <f>'附件3 规划内'!F155</f>
        <v>58</v>
      </c>
      <c r="G50">
        <f>'附件3 规划内'!G155</f>
        <v>0</v>
      </c>
      <c r="H50">
        <f>'附件3 规划内'!H155</f>
        <v>0</v>
      </c>
      <c r="I50" t="str">
        <f>'附件3 规划内'!I155</f>
        <v>完工</v>
      </c>
      <c r="J50">
        <f>'附件3 规划内'!J155</f>
        <v>58</v>
      </c>
      <c r="K50" t="str">
        <f>'附件3 规划内'!K155</f>
        <v/>
      </c>
      <c r="L50">
        <f>'附件3 规划内'!L155</f>
        <v>0</v>
      </c>
      <c r="M50" s="26">
        <f>'附件3 规划内'!M155</f>
        <v>44501</v>
      </c>
      <c r="N50" s="26">
        <f>'附件3 规划内'!N155</f>
        <v>44560</v>
      </c>
      <c r="O50" t="str">
        <f>'附件3 规划内'!O155</f>
        <v>市乡村振兴局</v>
      </c>
      <c r="P50" t="str">
        <f>'附件3 规划内'!P155</f>
        <v>祥符区</v>
      </c>
      <c r="Q50">
        <f>'附件3 规划内'!Q155</f>
        <v>0</v>
      </c>
      <c r="R50">
        <f>'附件3 规划内'!R155</f>
        <v>0</v>
      </c>
    </row>
    <row r="51" spans="1:18">
      <c r="A51">
        <f>'附件3 规划内'!A156</f>
        <v>155</v>
      </c>
      <c r="B51" t="str">
        <f>'附件3 规划内'!B156</f>
        <v>2020年范村乡传里寨村蔬菜大棚建设项目</v>
      </c>
      <c r="C51" t="str">
        <f>'附件3 规划内'!C156</f>
        <v>乡村振兴</v>
      </c>
      <c r="D51" t="str">
        <f>'附件3 规划内'!D156</f>
        <v>蔬菜大棚7个</v>
      </c>
      <c r="E51">
        <f>'附件3 规划内'!E156</f>
        <v>15</v>
      </c>
      <c r="F51">
        <f>'附件3 规划内'!F156</f>
        <v>15</v>
      </c>
      <c r="G51">
        <f>'附件3 规划内'!G156</f>
        <v>0</v>
      </c>
      <c r="H51">
        <f>'附件3 规划内'!H156</f>
        <v>0</v>
      </c>
      <c r="I51" t="str">
        <f>'附件3 规划内'!I156</f>
        <v>完工</v>
      </c>
      <c r="J51">
        <f>'附件3 规划内'!J156</f>
        <v>15</v>
      </c>
      <c r="K51" t="str">
        <f>'附件3 规划内'!K156</f>
        <v/>
      </c>
      <c r="L51">
        <f>'附件3 规划内'!L156</f>
        <v>0</v>
      </c>
      <c r="M51" s="26">
        <f>'附件3 规划内'!M156</f>
        <v>44470</v>
      </c>
      <c r="N51" s="26">
        <f>'附件3 规划内'!N156</f>
        <v>44560</v>
      </c>
      <c r="O51" t="str">
        <f>'附件3 规划内'!O156</f>
        <v>市乡村振兴局</v>
      </c>
      <c r="P51" t="str">
        <f>'附件3 规划内'!P156</f>
        <v>祥符区</v>
      </c>
      <c r="Q51">
        <f>'附件3 规划内'!Q156</f>
        <v>0</v>
      </c>
      <c r="R51">
        <f>'附件3 规划内'!R156</f>
        <v>0</v>
      </c>
    </row>
    <row r="52" spans="1:18">
      <c r="A52">
        <f>'附件3 规划内'!A241</f>
        <v>222</v>
      </c>
      <c r="B52" t="str">
        <f>'附件3 规划内'!B241</f>
        <v>祥符水毁农田新建项目</v>
      </c>
      <c r="C52" t="str">
        <f>'附件3 规划内'!C241</f>
        <v>农业</v>
      </c>
      <c r="D52" t="str">
        <f>'附件3 规划内'!D241</f>
        <v>240000亩</v>
      </c>
      <c r="E52">
        <f>'附件3 规划内'!E241</f>
        <v>38400</v>
      </c>
      <c r="F52">
        <f>'附件3 规划内'!F241</f>
        <v>0</v>
      </c>
      <c r="G52">
        <f>'附件3 规划内'!G241</f>
        <v>38400</v>
      </c>
      <c r="H52">
        <f>'附件3 规划内'!H241</f>
        <v>0</v>
      </c>
      <c r="I52" t="str">
        <f>'附件3 规划内'!I241</f>
        <v>在建</v>
      </c>
      <c r="J52">
        <f>'附件3 规划内'!J241</f>
        <v>30743</v>
      </c>
      <c r="K52">
        <f>'附件3 规划内'!K241</f>
        <v>30743</v>
      </c>
      <c r="L52">
        <f>'附件3 规划内'!L241</f>
        <v>0</v>
      </c>
      <c r="M52" s="26">
        <f>'附件3 规划内'!M241</f>
        <v>44713</v>
      </c>
      <c r="N52" s="26" t="str">
        <f>'附件3 规划内'!N241</f>
        <v>2023年12月</v>
      </c>
      <c r="O52" t="str">
        <f>'附件3 规划内'!O241</f>
        <v>市农业农村局</v>
      </c>
      <c r="P52" t="str">
        <f>'附件3 规划内'!P241</f>
        <v>祥符区</v>
      </c>
      <c r="Q52">
        <f>'附件3 规划内'!Q241</f>
        <v>0</v>
      </c>
      <c r="R52" t="str">
        <f>'附件3 规划内'!R241</f>
        <v>2022年12月底</v>
      </c>
    </row>
    <row r="53" spans="1:18">
      <c r="A53">
        <f>'附件3 规划内'!A242</f>
        <v>223</v>
      </c>
      <c r="B53" t="str">
        <f>'附件3 规划内'!B242</f>
        <v>祥符水毁农田应急修复项目</v>
      </c>
      <c r="C53" t="str">
        <f>'附件3 规划内'!C242</f>
        <v>农业</v>
      </c>
      <c r="D53" t="str">
        <f>'附件3 规划内'!D242</f>
        <v>60000亩</v>
      </c>
      <c r="E53">
        <f>'附件3 规划内'!E242</f>
        <v>3000</v>
      </c>
      <c r="F53">
        <f>'附件3 规划内'!F242</f>
        <v>3000</v>
      </c>
      <c r="G53">
        <f>'附件3 规划内'!G242</f>
        <v>0</v>
      </c>
      <c r="H53">
        <f>'附件3 规划内'!H242</f>
        <v>0</v>
      </c>
      <c r="I53" t="str">
        <f>'附件3 规划内'!I242</f>
        <v>完工</v>
      </c>
      <c r="J53">
        <f>'附件3 规划内'!J242</f>
        <v>3000</v>
      </c>
      <c r="K53" t="str">
        <f>'附件3 规划内'!K242</f>
        <v/>
      </c>
      <c r="L53">
        <f>'附件3 规划内'!L242</f>
        <v>0</v>
      </c>
      <c r="M53" s="26">
        <f>'附件3 规划内'!M242</f>
        <v>44440</v>
      </c>
      <c r="N53" s="26" t="str">
        <f>'附件3 规划内'!N242</f>
        <v>2021年12月</v>
      </c>
      <c r="O53" t="str">
        <f>'附件3 规划内'!O242</f>
        <v>市农业农村局</v>
      </c>
      <c r="P53" t="str">
        <f>'附件3 规划内'!P242</f>
        <v>祥符区</v>
      </c>
      <c r="Q53">
        <f>'附件3 规划内'!Q242</f>
        <v>0</v>
      </c>
      <c r="R53" t="str">
        <f>'附件3 规划内'!R242</f>
        <v>Ⅲ类，2021年已完成</v>
      </c>
    </row>
    <row r="54" spans="1:18">
      <c r="A54">
        <f>'附件3 规划内'!A252</f>
        <v>233</v>
      </c>
      <c r="B54" t="str">
        <f>'附件3 规划内'!B252</f>
        <v>开封市祥符区惠济河险工治理和灾后恢复重建项目</v>
      </c>
      <c r="C54" t="str">
        <f>'附件3 规划内'!C252</f>
        <v>水利</v>
      </c>
      <c r="D54" t="str">
        <f>'附件3 规划内'!D252</f>
        <v>整治河段除涝标准采用五年一遇，防洪标准为五十年一遇，堤防设计标准为4级。河道上主要建筑物按4级建筑物设计。主要包括河道疏浚、两岸堤防加高培厚，重建排水涵洞3座，重建生产桥3座，群力闸架设变压器、高压线路。</v>
      </c>
      <c r="E54">
        <f>'附件3 规划内'!E252</f>
        <v>1723</v>
      </c>
      <c r="F54">
        <f>'附件3 规划内'!F252</f>
        <v>0</v>
      </c>
      <c r="G54">
        <f>'附件3 规划内'!G252</f>
        <v>1723</v>
      </c>
      <c r="H54">
        <f>'附件3 规划内'!H252</f>
        <v>0</v>
      </c>
      <c r="I54" t="str">
        <f>'附件3 规划内'!I252</f>
        <v>完工</v>
      </c>
      <c r="J54">
        <f>'附件3 规划内'!J252</f>
        <v>1723</v>
      </c>
      <c r="K54">
        <f>'附件3 规划内'!K252</f>
        <v>1723</v>
      </c>
      <c r="L54">
        <f>'附件3 规划内'!L252</f>
        <v>0</v>
      </c>
      <c r="M54" s="26">
        <f>'附件3 规划内'!M252</f>
        <v>44470</v>
      </c>
      <c r="N54" s="26">
        <f>'附件3 规划内'!N252</f>
        <v>44743</v>
      </c>
      <c r="O54" t="str">
        <f>'附件3 规划内'!O252</f>
        <v>市水利局</v>
      </c>
      <c r="P54" t="str">
        <f>'附件3 规划内'!P252</f>
        <v>祥符区</v>
      </c>
      <c r="Q54">
        <f>'附件3 规划内'!Q252</f>
        <v>0</v>
      </c>
      <c r="R54">
        <f>'附件3 规划内'!R252</f>
        <v>0</v>
      </c>
    </row>
  </sheetData>
  <sheetProtection formatCells="0" formatColumns="0" formatRows="0" sort="0" autoFilter="0"/>
  <autoFilter ref="A6:AK254">
    <extLst/>
  </autoFilter>
  <mergeCells count="5">
    <mergeCell ref="A1:G1"/>
    <mergeCell ref="H1:M1"/>
    <mergeCell ref="O1:U1"/>
    <mergeCell ref="A5:R5"/>
    <mergeCell ref="T5:AK5"/>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3"/>
  <sheetViews>
    <sheetView zoomScale="90" zoomScaleNormal="90" workbookViewId="0">
      <pane ySplit="6" topLeftCell="A7" activePane="bottomLeft" state="frozen"/>
      <selection/>
      <selection pane="bottomLeft" activeCell="J28" sqref="J28"/>
    </sheetView>
  </sheetViews>
  <sheetFormatPr defaultColWidth="9" defaultRowHeight="13.5"/>
  <cols>
    <col min="13" max="14" width="10.6333333333333" customWidth="1"/>
    <col min="32" max="33" width="11.9083333333333" customWidth="1"/>
  </cols>
  <sheetData>
    <row r="1" ht="14.15" customHeight="1" spans="1:21">
      <c r="A1" s="2" t="s">
        <v>1206</v>
      </c>
      <c r="B1" s="3"/>
      <c r="C1" s="3"/>
      <c r="D1" s="3"/>
      <c r="E1" s="3"/>
      <c r="F1" s="3"/>
      <c r="G1" s="4"/>
      <c r="H1" s="5" t="s">
        <v>1207</v>
      </c>
      <c r="I1" s="5"/>
      <c r="J1" s="5"/>
      <c r="K1" s="5"/>
      <c r="L1" s="5"/>
      <c r="M1" s="5"/>
      <c r="N1" s="5"/>
      <c r="O1" s="16" t="s">
        <v>1207</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8</v>
      </c>
      <c r="C3" s="10">
        <f t="shared" ref="C3:F4" si="0">J3+Q3</f>
        <v>38714</v>
      </c>
      <c r="D3" s="10">
        <f t="shared" si="0"/>
        <v>8</v>
      </c>
      <c r="E3" s="10">
        <f t="shared" si="0"/>
        <v>6</v>
      </c>
      <c r="F3" s="10">
        <f t="shared" si="0"/>
        <v>37401</v>
      </c>
      <c r="G3" s="11">
        <f>IF(C3=0,"-",ROUND(F3/C3,3))</f>
        <v>0.966</v>
      </c>
      <c r="H3" s="8" t="s">
        <v>1146</v>
      </c>
      <c r="I3" s="17">
        <f>COUNT(E7:E122)</f>
        <v>1</v>
      </c>
      <c r="J3" s="21">
        <f>SUM(E7:E122)</f>
        <v>300</v>
      </c>
      <c r="K3" s="21">
        <f>COUNTIF(I7:I122,"在建")+COUNTIF(I7:I122,"完工")</f>
        <v>1</v>
      </c>
      <c r="L3" s="21">
        <f>COUNTIF(I7:I122,"完工")</f>
        <v>1</v>
      </c>
      <c r="M3" s="17">
        <f>SUM(J7:J122)</f>
        <v>300</v>
      </c>
      <c r="N3" s="22">
        <f>IF(J3=0,"-",ROUND(M3/J3,3))</f>
        <v>1</v>
      </c>
      <c r="O3" s="19" t="s">
        <v>1146</v>
      </c>
      <c r="P3" s="20">
        <f>COUNT(X7:X122)</f>
        <v>7</v>
      </c>
      <c r="Q3" s="24">
        <f>SUM(X7:X122)</f>
        <v>38414</v>
      </c>
      <c r="R3" s="24">
        <f>COUNTIF(AB7:AB122,"在建")+COUNTIF(AB7:AB122,"完工")</f>
        <v>7</v>
      </c>
      <c r="S3" s="24">
        <f>COUNTIF(AB7:AB122,"完工")</f>
        <v>5</v>
      </c>
      <c r="T3" s="20">
        <f>SUM(AC7:AC122)</f>
        <v>37101</v>
      </c>
      <c r="U3" s="25">
        <f>IF(Q3=0,"-",ROUND(T3/Q3,3))</f>
        <v>0.966</v>
      </c>
    </row>
    <row r="4" ht="27" spans="1:21">
      <c r="A4" s="9" t="s">
        <v>1147</v>
      </c>
      <c r="B4" s="10">
        <f>I4+P4</f>
        <v>6</v>
      </c>
      <c r="C4" s="10">
        <f t="shared" si="0"/>
        <v>12214</v>
      </c>
      <c r="D4" s="10">
        <f t="shared" si="0"/>
        <v>6</v>
      </c>
      <c r="E4" s="10">
        <f t="shared" si="0"/>
        <v>4</v>
      </c>
      <c r="F4" s="10">
        <f t="shared" si="0"/>
        <v>10901</v>
      </c>
      <c r="G4" s="12">
        <f>IF(C4=0,"-",ROUND(F4/C4,3))</f>
        <v>0.893</v>
      </c>
      <c r="H4" s="8" t="s">
        <v>1148</v>
      </c>
      <c r="I4" s="17">
        <f>COUNTIF(G7:G122,"&gt;0")</f>
        <v>1</v>
      </c>
      <c r="J4" s="21">
        <f>SUM(G7:G122)</f>
        <v>300</v>
      </c>
      <c r="K4" s="21">
        <f>COUNTIFS(G7:G122,"&gt;0",I7:I122,"完工")+COUNTIFS(G7:G122,"&gt;0",I7:I122,"在建")</f>
        <v>1</v>
      </c>
      <c r="L4" s="21">
        <f>COUNTIFS(G7:G122,"&gt;0",I7:I122,"完工")</f>
        <v>1</v>
      </c>
      <c r="M4" s="17">
        <f>SUM(K7:K122)</f>
        <v>300</v>
      </c>
      <c r="N4" s="22">
        <f>IF(J4=0,"-",ROUND(M4/J4,3))</f>
        <v>1</v>
      </c>
      <c r="O4" s="19" t="s">
        <v>1148</v>
      </c>
      <c r="P4" s="20">
        <f>COUNTIF(Z7:Z122,"&gt;0")</f>
        <v>5</v>
      </c>
      <c r="Q4" s="24">
        <f>SUM(Z7:Z122)</f>
        <v>11914</v>
      </c>
      <c r="R4" s="24">
        <f>COUNTIFS(Z7:Z122,"&gt;0",AB7:AB122,"完工")+COUNTIFS(Z7:Z122,"&gt;0",AB7:AB122,"在建")</f>
        <v>5</v>
      </c>
      <c r="S4" s="24">
        <f>COUNTIFS(Z7:Z122,"&gt;0",AB7:AB122,"完工")</f>
        <v>3</v>
      </c>
      <c r="T4" s="20">
        <f>SUM(AD7:AD122)</f>
        <v>10601</v>
      </c>
      <c r="U4" s="25">
        <f>IF(Q4=0,"-",ROUND(T4/Q4,3))</f>
        <v>0.89</v>
      </c>
    </row>
    <row r="5" s="1" customFormat="1" spans="1:37">
      <c r="A5" s="13" t="s">
        <v>1208</v>
      </c>
      <c r="B5" s="14"/>
      <c r="C5" s="14"/>
      <c r="D5" s="14"/>
      <c r="E5" s="14"/>
      <c r="F5" s="14"/>
      <c r="G5" s="14"/>
      <c r="H5" s="14"/>
      <c r="I5" s="14"/>
      <c r="J5" s="14"/>
      <c r="K5" s="14"/>
      <c r="L5" s="14"/>
      <c r="M5" s="14"/>
      <c r="N5" s="14"/>
      <c r="O5" s="14"/>
      <c r="P5" s="14"/>
      <c r="Q5" s="14"/>
      <c r="R5" s="36"/>
      <c r="T5" s="13" t="s">
        <v>1209</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规划内'!A51</f>
        <v>50</v>
      </c>
      <c r="B7" t="str">
        <f>'附件3 规划内'!B51</f>
        <v>Y009 恢复重建</v>
      </c>
      <c r="C7" t="str">
        <f>'附件3 规划内'!C51</f>
        <v>交通</v>
      </c>
      <c r="D7" t="str">
        <f>'附件3 规划内'!D51</f>
        <v>恢复重建道路3.083公里</v>
      </c>
      <c r="E7">
        <f>'附件3 规划内'!E51</f>
        <v>300</v>
      </c>
      <c r="F7">
        <f>'附件3 规划内'!F51</f>
        <v>0</v>
      </c>
      <c r="G7">
        <f>'附件3 规划内'!G51</f>
        <v>300</v>
      </c>
      <c r="H7">
        <f>'附件3 规划内'!H51</f>
        <v>0</v>
      </c>
      <c r="I7" t="str">
        <f>'附件3 规划内'!I51</f>
        <v>完工</v>
      </c>
      <c r="J7">
        <f>'附件3 规划内'!J51</f>
        <v>300</v>
      </c>
      <c r="K7">
        <f>'附件3 规划内'!K51</f>
        <v>300</v>
      </c>
      <c r="L7">
        <f>'附件3 规划内'!L51</f>
        <v>0</v>
      </c>
      <c r="M7" s="26">
        <f>'附件3 规划内'!M51</f>
        <v>44652</v>
      </c>
      <c r="N7" s="26">
        <f>'附件3 规划内'!N51</f>
        <v>44742</v>
      </c>
      <c r="O7" t="str">
        <f>'附件3 规划内'!O51</f>
        <v>市交通运输局</v>
      </c>
      <c r="P7" t="str">
        <f>'附件3 规划内'!P51</f>
        <v>城乡一体化示范区</v>
      </c>
      <c r="Q7">
        <f>'附件3 规划内'!Q51</f>
        <v>0</v>
      </c>
      <c r="R7" t="str">
        <f>'附件3 规划内'!R51</f>
        <v>2022年6月底 农村公路</v>
      </c>
      <c r="T7">
        <f>'附件4 规划外'!A75</f>
        <v>85</v>
      </c>
      <c r="U7" t="str">
        <f>'附件4 规划外'!B75</f>
        <v>开封市马家河污水处理厂中水回用（二期）</v>
      </c>
      <c r="V7" t="str">
        <f>'附件4 规划外'!C75</f>
        <v>市政</v>
      </c>
      <c r="W7" t="str">
        <f>'附件4 规划外'!D75</f>
        <v>位于城乡一体化示范区内，管线范围包括一大街（宋城路-晋安路）、九大街（晋安路-东京大道）、晋安路（一大街-十二大街）、东京大道（一大街-十二大街）。中水管道采用管径为DN1000的球墨铸铁管道，管道附属设施包括阀门井、立式自动排气阀、蝶阀、架空段可滑移支座、标志带。本次设计中水管道主要用于碧水河、秀溪河、晋安河绿化用水及秀溪河湿地、马家河湿地补水。管道完善后，水泵长期运行，在最下游设置电磁阀控制。</v>
      </c>
      <c r="X7">
        <f>'附件4 规划外'!E75</f>
        <v>10000</v>
      </c>
      <c r="Y7">
        <f>'附件4 规划外'!F75</f>
        <v>9000</v>
      </c>
      <c r="Z7">
        <f>'附件4 规划外'!G75</f>
        <v>1000</v>
      </c>
      <c r="AA7">
        <f>'附件4 规划外'!H75</f>
        <v>0</v>
      </c>
      <c r="AB7" t="str">
        <f>'附件4 规划外'!I75</f>
        <v>在建</v>
      </c>
      <c r="AC7">
        <f>'附件4 规划外'!J75</f>
        <v>9150</v>
      </c>
      <c r="AD7">
        <f>'附件4 规划外'!K75</f>
        <v>150</v>
      </c>
      <c r="AE7" t="str">
        <f>'附件4 规划外'!L75</f>
        <v>完成95%</v>
      </c>
      <c r="AF7" s="26">
        <f>'附件4 规划外'!M75</f>
        <v>44228</v>
      </c>
      <c r="AG7" s="26">
        <f>'附件4 规划外'!N75</f>
        <v>44835</v>
      </c>
      <c r="AH7" t="str">
        <f>'附件4 规划外'!O75</f>
        <v>市城管局</v>
      </c>
      <c r="AI7" t="str">
        <f>'附件4 规划外'!P75</f>
        <v>城乡一体化示范区</v>
      </c>
      <c r="AJ7">
        <f>'附件4 规划外'!Q75</f>
        <v>0</v>
      </c>
      <c r="AK7">
        <f>'附件4 规划外'!R75</f>
        <v>0</v>
      </c>
    </row>
    <row r="8" spans="20:37">
      <c r="T8">
        <f>'附件4 规划外'!A76</f>
        <v>86</v>
      </c>
      <c r="U8" t="str">
        <f>'附件4 规划外'!B76</f>
        <v>示范区基础设施维修项目</v>
      </c>
      <c r="V8" t="str">
        <f>'附件4 规划外'!C76</f>
        <v>市政</v>
      </c>
      <c r="W8" t="str">
        <f>'附件4 规划外'!D76</f>
        <v>修复陇海铁路至宋城路金明大道路面绿化及侧平石、集英街至一大街宋城路慢车道人行道、维修各办事处上报损毁背街、</v>
      </c>
      <c r="X8">
        <f>'附件4 规划外'!E76</f>
        <v>3531</v>
      </c>
      <c r="Y8">
        <f>'附件4 规划外'!F76</f>
        <v>0</v>
      </c>
      <c r="Z8">
        <f>'附件4 规划外'!G76</f>
        <v>3531</v>
      </c>
      <c r="AA8">
        <f>'附件4 规划外'!H76</f>
        <v>0</v>
      </c>
      <c r="AB8" t="str">
        <f>'附件4 规划外'!I76</f>
        <v>完工</v>
      </c>
      <c r="AC8">
        <f>'附件4 规划外'!J76</f>
        <v>3531</v>
      </c>
      <c r="AD8">
        <f>'附件4 规划外'!K76</f>
        <v>3531</v>
      </c>
      <c r="AE8" t="str">
        <f>'附件4 规划外'!L76</f>
        <v>已完工</v>
      </c>
      <c r="AF8" s="26">
        <f>'附件4 规划外'!M76</f>
        <v>44562</v>
      </c>
      <c r="AG8" s="26">
        <f>'附件4 规划外'!N76</f>
        <v>44805</v>
      </c>
      <c r="AH8" t="str">
        <f>'附件4 规划外'!O76</f>
        <v>市城管局</v>
      </c>
      <c r="AI8" t="str">
        <f>'附件4 规划外'!P76</f>
        <v>城乡一体化示范区</v>
      </c>
      <c r="AJ8">
        <f>'附件4 规划外'!Q76</f>
        <v>0</v>
      </c>
      <c r="AK8">
        <f>'附件4 规划外'!R76</f>
        <v>0</v>
      </c>
    </row>
    <row r="9" spans="20:37">
      <c r="T9">
        <f>'附件4 规划外'!A77</f>
        <v>87</v>
      </c>
      <c r="U9" t="str">
        <f>'附件4 规划外'!B77</f>
        <v>黑池水源地生态保护水毁修复工程</v>
      </c>
      <c r="V9" t="str">
        <f>'附件4 规划外'!C77</f>
        <v>市政</v>
      </c>
      <c r="W9" t="str">
        <f>'附件4 规划外'!D77</f>
        <v>水源地保护生态公益林、水源地清淤维护道路</v>
      </c>
      <c r="X9">
        <f>'附件4 规划外'!E77</f>
        <v>1500</v>
      </c>
      <c r="Y9">
        <f>'附件4 规划外'!F77</f>
        <v>1500</v>
      </c>
      <c r="Z9">
        <f>'附件4 规划外'!G77</f>
        <v>0</v>
      </c>
      <c r="AA9">
        <f>'附件4 规划外'!H77</f>
        <v>0</v>
      </c>
      <c r="AB9" t="str">
        <f>'附件4 规划外'!I77</f>
        <v>完工</v>
      </c>
      <c r="AC9">
        <f>'附件4 规划外'!J77</f>
        <v>1500</v>
      </c>
      <c r="AD9" t="str">
        <f>'附件4 规划外'!K77</f>
        <v/>
      </c>
      <c r="AE9" t="str">
        <f>'附件4 规划外'!L77</f>
        <v>已完工</v>
      </c>
      <c r="AF9" s="26">
        <f>'附件4 规划外'!M77</f>
        <v>44470</v>
      </c>
      <c r="AG9" s="26">
        <f>'附件4 规划外'!N77</f>
        <v>44531</v>
      </c>
      <c r="AH9" t="str">
        <f>'附件4 规划外'!O77</f>
        <v>市城管局</v>
      </c>
      <c r="AI9" t="str">
        <f>'附件4 规划外'!P77</f>
        <v>城乡一体化示范区</v>
      </c>
      <c r="AJ9">
        <f>'附件4 规划外'!Q77</f>
        <v>0</v>
      </c>
      <c r="AK9">
        <f>'附件4 规划外'!R77</f>
        <v>0</v>
      </c>
    </row>
    <row r="10" spans="20:37">
      <c r="T10">
        <f>'附件4 规划外'!A78</f>
        <v>88</v>
      </c>
      <c r="U10" t="str">
        <f>'附件4 规划外'!B78</f>
        <v>示范区城市支路完善工程</v>
      </c>
      <c r="V10" t="str">
        <f>'附件4 规划外'!C78</f>
        <v>市政</v>
      </c>
      <c r="W10" t="str">
        <f>'附件4 规划外'!D78</f>
        <v>该项目主要建设六大街西侧(宋城路至魏都路段)，金明池小学东侧规划路(复兴大道至职教路)及中央公园周边(七大街与魏都路交叉口南)道路完善工程。其中六大街西侧道路总长约800米，宽度约18米，主要包括人行道和慢车道的行道树、绿化带完善，雨污水、排管完善等工程:金明池小学大门东侧规划道路总长约450米，宽度约20米，双向单车道，主要包括机动车道路、慢车道、人行道的绿化和道路排管完善工程:中央公园周边道路总长约240米，宽度约30米的双向单道路，并在两侧布置运动健身步道、设置防护绿带等。</v>
      </c>
      <c r="X10">
        <f>'附件4 规划外'!E78</f>
        <v>3000</v>
      </c>
      <c r="Y10">
        <f>'附件4 规划外'!F78</f>
        <v>3000</v>
      </c>
      <c r="Z10">
        <f>'附件4 规划外'!G78</f>
        <v>0</v>
      </c>
      <c r="AA10">
        <f>'附件4 规划外'!H78</f>
        <v>0</v>
      </c>
      <c r="AB10" t="str">
        <f>'附件4 规划外'!I78</f>
        <v>完工</v>
      </c>
      <c r="AC10">
        <f>'附件4 规划外'!J78</f>
        <v>3000</v>
      </c>
      <c r="AD10" t="str">
        <f>'附件4 规划外'!K78</f>
        <v/>
      </c>
      <c r="AE10" t="str">
        <f>'附件4 规划外'!L78</f>
        <v>已完工</v>
      </c>
      <c r="AF10" s="26">
        <f>'附件4 规划外'!M78</f>
        <v>44317</v>
      </c>
      <c r="AG10" s="26">
        <f>'附件4 规划外'!N78</f>
        <v>44531</v>
      </c>
      <c r="AH10" t="str">
        <f>'附件4 规划外'!O78</f>
        <v>市城管局</v>
      </c>
      <c r="AI10" t="str">
        <f>'附件4 规划外'!P78</f>
        <v>城乡一体化示范区</v>
      </c>
      <c r="AJ10">
        <f>'附件4 规划外'!Q78</f>
        <v>0</v>
      </c>
      <c r="AK10">
        <f>'附件4 规划外'!R78</f>
        <v>0</v>
      </c>
    </row>
    <row r="11" spans="20:37">
      <c r="T11">
        <f>'附件4 规划外'!A79</f>
        <v>89</v>
      </c>
      <c r="U11" t="str">
        <f>'附件4 规划外'!B79</f>
        <v>金明大道北延项目</v>
      </c>
      <c r="V11" t="str">
        <f>'附件4 规划外'!C79</f>
        <v>市政</v>
      </c>
      <c r="W11" t="str">
        <f>'附件4 规划外'!D79</f>
        <v>位于开封城区以北水稻乡境内，项目南起稻四路，北至黄河大堤堤顶路，项目总长约3公里，红线宽度60米，建设内容包含：道路、排水、电气、交安、绿化、电力排管等</v>
      </c>
      <c r="X11">
        <f>'附件4 规划外'!E79</f>
        <v>19500</v>
      </c>
      <c r="Y11">
        <f>'附件4 规划外'!F79</f>
        <v>13000</v>
      </c>
      <c r="Z11">
        <f>'附件4 规划外'!G79</f>
        <v>6500</v>
      </c>
      <c r="AA11">
        <f>'附件4 规划外'!H79</f>
        <v>0</v>
      </c>
      <c r="AB11" t="str">
        <f>'附件4 规划外'!I79</f>
        <v>完工</v>
      </c>
      <c r="AC11">
        <f>'附件4 规划外'!J79</f>
        <v>19500</v>
      </c>
      <c r="AD11">
        <f>'附件4 规划外'!K79</f>
        <v>6500</v>
      </c>
      <c r="AE11" t="str">
        <f>'附件4 规划外'!L79</f>
        <v>已完工</v>
      </c>
      <c r="AF11" s="26">
        <f>'附件4 规划外'!M79</f>
        <v>44256</v>
      </c>
      <c r="AG11" s="26">
        <f>'附件4 规划外'!N79</f>
        <v>44682</v>
      </c>
      <c r="AH11" t="str">
        <f>'附件4 规划外'!O79</f>
        <v>市城管局</v>
      </c>
      <c r="AI11" t="str">
        <f>'附件4 规划外'!P79</f>
        <v>城乡一体化示范区</v>
      </c>
      <c r="AJ11">
        <f>'附件4 规划外'!Q79</f>
        <v>0</v>
      </c>
      <c r="AK11">
        <f>'附件4 规划外'!R79</f>
        <v>0</v>
      </c>
    </row>
    <row r="12" spans="20:37">
      <c r="T12">
        <f>'附件4 规划外'!A217</f>
        <v>231</v>
      </c>
      <c r="U12" t="str">
        <f>'附件4 规划外'!B217</f>
        <v>开封童翎教育科技有限公司开封市示范区童翎托育中心项目</v>
      </c>
      <c r="V12" t="str">
        <f>'附件4 规划外'!C217</f>
        <v>其他</v>
      </c>
      <c r="W12" t="str">
        <f>'附件4 规划外'!D217</f>
        <v>托育教室、游戏活动区、家长休息区、绘本阅读区等，集接待室、卫生保健室、多功能室、感统训练室为一体的婴幼儿活动与家长育儿学习的公共场所</v>
      </c>
      <c r="X12">
        <f>'附件4 规划外'!E217</f>
        <v>240</v>
      </c>
      <c r="Y12">
        <f>'附件4 规划外'!F217</f>
        <v>0</v>
      </c>
      <c r="Z12">
        <f>'附件4 规划外'!G217</f>
        <v>240</v>
      </c>
      <c r="AA12">
        <f>'附件4 规划外'!H217</f>
        <v>0</v>
      </c>
      <c r="AB12" t="str">
        <f>'附件4 规划外'!I217</f>
        <v>完工</v>
      </c>
      <c r="AC12">
        <f>'附件4 规划外'!J217</f>
        <v>240</v>
      </c>
      <c r="AD12">
        <f>'附件4 规划外'!K217</f>
        <v>240</v>
      </c>
      <c r="AE12" t="str">
        <f>'附件4 规划外'!L217</f>
        <v>1.基础墙面、地面已经进行完毕，待后续维护和整修。
2.消防工程和空调已经安装完毕，待验收调试。
3.厨房装修和设备采购待进一步完善。</v>
      </c>
      <c r="AF12">
        <f>'附件4 规划外'!M217</f>
        <v>44562</v>
      </c>
      <c r="AG12">
        <f>'附件4 规划外'!N217</f>
        <v>44743</v>
      </c>
      <c r="AH12" t="str">
        <f>'附件4 规划外'!O217</f>
        <v>市卫生健康委</v>
      </c>
      <c r="AI12" t="str">
        <f>'附件4 规划外'!P217</f>
        <v>城乡一体化示范区</v>
      </c>
      <c r="AJ12">
        <f>'附件4 规划外'!Q217</f>
        <v>0</v>
      </c>
      <c r="AK12">
        <f>'附件4 规划外'!R217</f>
        <v>0</v>
      </c>
    </row>
    <row r="13" spans="20:37">
      <c r="T13">
        <f>'附件4 规划外'!A223</f>
        <v>237</v>
      </c>
      <c r="U13" t="str">
        <f>'附件4 规划外'!B223</f>
        <v>示范区老旧小区改造汉中片区红线内配套基础设施建设项目</v>
      </c>
      <c r="V13" t="str">
        <f>'附件4 规划外'!C223</f>
        <v>其他</v>
      </c>
      <c r="W13" t="str">
        <f>'附件4 规划外'!D223</f>
        <v>道路、排水、绿化、监控、照明、供水、消防设施等</v>
      </c>
      <c r="X13">
        <f>'附件4 规划外'!E223</f>
        <v>643</v>
      </c>
      <c r="Y13">
        <f>'附件4 规划外'!F223</f>
        <v>0</v>
      </c>
      <c r="Z13">
        <f>'附件4 规划外'!G223</f>
        <v>643</v>
      </c>
      <c r="AA13">
        <f>'附件4 规划外'!H223</f>
        <v>0</v>
      </c>
      <c r="AB13" t="str">
        <f>'附件4 规划外'!I223</f>
        <v>在建</v>
      </c>
      <c r="AC13">
        <f>'附件4 规划外'!J223</f>
        <v>180</v>
      </c>
      <c r="AD13">
        <f>'附件4 规划外'!K223</f>
        <v>180</v>
      </c>
      <c r="AE13" t="str">
        <f>'附件4 规划外'!L223</f>
        <v>1、招投标工作已完成；2、设计方案已完成；3、施工单位技术人员正在现场摸排，5月底前全部开工。</v>
      </c>
      <c r="AF13">
        <f>'附件4 规划外'!M223</f>
        <v>44712</v>
      </c>
      <c r="AG13">
        <f>'附件4 规划外'!N223</f>
        <v>44926</v>
      </c>
      <c r="AH13" t="str">
        <f>'附件4 规划外'!O223</f>
        <v>市住房城乡建设局</v>
      </c>
      <c r="AI13" t="str">
        <f>'附件4 规划外'!P223</f>
        <v>城乡一体化示范区</v>
      </c>
      <c r="AJ13">
        <f>'附件4 规划外'!Q223</f>
        <v>0</v>
      </c>
      <c r="AK13">
        <f>'附件4 规划外'!R223</f>
        <v>0</v>
      </c>
    </row>
  </sheetData>
  <sheetProtection formatCells="0" formatColumns="0" formatRows="0" sort="0" autoFilter="0"/>
  <mergeCells count="5">
    <mergeCell ref="A1:G1"/>
    <mergeCell ref="H1:N1"/>
    <mergeCell ref="O1:U1"/>
    <mergeCell ref="A5:R5"/>
    <mergeCell ref="T5:AK5"/>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0"/>
  <sheetViews>
    <sheetView zoomScale="90" zoomScaleNormal="90" workbookViewId="0">
      <pane ySplit="6" topLeftCell="A7" activePane="bottomLeft" state="frozen"/>
      <selection/>
      <selection pane="bottomLeft" activeCell="Z18" sqref="Z18"/>
    </sheetView>
  </sheetViews>
  <sheetFormatPr defaultColWidth="9" defaultRowHeight="13.5"/>
  <cols>
    <col min="13" max="13" width="11.9083333333333" customWidth="1"/>
    <col min="14" max="14" width="10.6333333333333" customWidth="1"/>
    <col min="32" max="32" width="11.9083333333333" customWidth="1"/>
    <col min="33" max="33" width="10.6333333333333" customWidth="1"/>
  </cols>
  <sheetData>
    <row r="1" ht="14.15" customHeight="1" spans="1:21">
      <c r="A1" s="2" t="s">
        <v>1210</v>
      </c>
      <c r="B1" s="3"/>
      <c r="C1" s="3"/>
      <c r="D1" s="3"/>
      <c r="E1" s="3"/>
      <c r="F1" s="3"/>
      <c r="G1" s="4"/>
      <c r="H1" s="5" t="s">
        <v>1211</v>
      </c>
      <c r="I1" s="5"/>
      <c r="J1" s="5"/>
      <c r="K1" s="5"/>
      <c r="L1" s="5"/>
      <c r="M1" s="5"/>
      <c r="N1" s="5"/>
      <c r="O1" s="16" t="s">
        <v>1211</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5</v>
      </c>
      <c r="C3" s="10" t="e">
        <f t="shared" ref="C3:F4" si="0">J3+Q3</f>
        <v>#REF!</v>
      </c>
      <c r="D3" s="10">
        <f t="shared" si="0"/>
        <v>5</v>
      </c>
      <c r="E3" s="10">
        <f t="shared" si="0"/>
        <v>5</v>
      </c>
      <c r="F3" s="10" t="e">
        <f t="shared" si="0"/>
        <v>#REF!</v>
      </c>
      <c r="G3" s="11" t="e">
        <f>IF(C3=0,"-",ROUND(F3/C3,3))</f>
        <v>#REF!</v>
      </c>
      <c r="H3" s="8" t="s">
        <v>1146</v>
      </c>
      <c r="I3" s="17">
        <f>COUNT(E7:E122)</f>
        <v>4</v>
      </c>
      <c r="J3" s="21">
        <f>SUM(E7:E122)</f>
        <v>1118.934</v>
      </c>
      <c r="K3" s="21">
        <f>COUNTIF(I7:I122,"在建")+COUNTIF(I7:I122,"完工")</f>
        <v>4</v>
      </c>
      <c r="L3" s="21">
        <f>COUNTIF(I7:I122,"完工")</f>
        <v>4</v>
      </c>
      <c r="M3" s="17">
        <f>SUM(J7:J122)</f>
        <v>1118.934</v>
      </c>
      <c r="N3" s="22">
        <f>IF(J3=0,"-",ROUND(M3/J3,3))</f>
        <v>1</v>
      </c>
      <c r="O3" s="19" t="s">
        <v>1146</v>
      </c>
      <c r="P3" s="20">
        <f>COUNT(X7:X122)</f>
        <v>1</v>
      </c>
      <c r="Q3" s="24" t="e">
        <f>SUM(X7:X122)</f>
        <v>#REF!</v>
      </c>
      <c r="R3" s="24">
        <f>COUNTIF(AB7:AB122,"在建")+COUNTIF(AB7:AB122,"完工")</f>
        <v>1</v>
      </c>
      <c r="S3" s="24">
        <f>COUNTIF(AB7:AB122,"完工")</f>
        <v>1</v>
      </c>
      <c r="T3" s="20" t="e">
        <f>SUM(AC7:AC122)</f>
        <v>#REF!</v>
      </c>
      <c r="U3" s="25" t="e">
        <f>IF(Q3=0,"-",ROUND(T3/Q3,3))</f>
        <v>#REF!</v>
      </c>
    </row>
    <row r="4" ht="27" spans="1:21">
      <c r="A4" s="9" t="s">
        <v>1147</v>
      </c>
      <c r="B4" s="10">
        <f>I4+P4</f>
        <v>4</v>
      </c>
      <c r="C4" s="10" t="e">
        <f t="shared" si="0"/>
        <v>#REF!</v>
      </c>
      <c r="D4" s="10">
        <f t="shared" si="0"/>
        <v>4</v>
      </c>
      <c r="E4" s="10">
        <f t="shared" si="0"/>
        <v>4</v>
      </c>
      <c r="F4" s="10" t="e">
        <f t="shared" si="0"/>
        <v>#REF!</v>
      </c>
      <c r="G4" s="12" t="e">
        <f>IF(C4=0,"-",ROUND(F4/C4,3))</f>
        <v>#REF!</v>
      </c>
      <c r="H4" s="8" t="s">
        <v>1148</v>
      </c>
      <c r="I4" s="17">
        <f>COUNTIF(G7:G122,"&gt;0")</f>
        <v>3</v>
      </c>
      <c r="J4" s="21">
        <f>SUM(G7:G122)</f>
        <v>916</v>
      </c>
      <c r="K4" s="21">
        <f>COUNTIFS(G7:G122,"&gt;0",I7:I122,"完工")+COUNTIFS(G7:G122,"&gt;0",I7:I122,"在建")</f>
        <v>3</v>
      </c>
      <c r="L4" s="21">
        <f>COUNTIFS(G7:G122,"&gt;0",I7:I122,"完工")</f>
        <v>3</v>
      </c>
      <c r="M4" s="17">
        <f>SUM(K7:K122)</f>
        <v>916</v>
      </c>
      <c r="N4" s="22">
        <f>IF(J4=0,"-",ROUND(M4/J4,3))</f>
        <v>1</v>
      </c>
      <c r="O4" s="19" t="s">
        <v>1148</v>
      </c>
      <c r="P4" s="20">
        <f>COUNTIF(Z7:Z122,"&gt;0")</f>
        <v>1</v>
      </c>
      <c r="Q4" s="24" t="e">
        <f>SUM(Z7:Z122)</f>
        <v>#REF!</v>
      </c>
      <c r="R4" s="24">
        <f>COUNTIFS(Z7:Z122,"&gt;0",AB7:AB122,"完工")+COUNTIFS(Z7:Z122,"&gt;0",AB7:AB122,"在建")</f>
        <v>1</v>
      </c>
      <c r="S4" s="24">
        <f>COUNTIFS(Z7:Z122,"&gt;0",AB7:AB122,"完工")</f>
        <v>1</v>
      </c>
      <c r="T4" s="20" t="e">
        <f>SUM(AD7:AD122)</f>
        <v>#REF!</v>
      </c>
      <c r="U4" s="25" t="e">
        <f>IF(Q4=0,"-",ROUND(T4/Q4,3))</f>
        <v>#REF!</v>
      </c>
    </row>
    <row r="5" s="1" customFormat="1" spans="1:37">
      <c r="A5" s="13" t="s">
        <v>1212</v>
      </c>
      <c r="B5" s="14"/>
      <c r="C5" s="14"/>
      <c r="D5" s="14"/>
      <c r="E5" s="14"/>
      <c r="F5" s="14"/>
      <c r="G5" s="14"/>
      <c r="H5" s="14"/>
      <c r="I5" s="14"/>
      <c r="J5" s="14"/>
      <c r="K5" s="14"/>
      <c r="L5" s="14"/>
      <c r="M5" s="14"/>
      <c r="N5" s="14"/>
      <c r="O5" s="14"/>
      <c r="P5" s="14"/>
      <c r="Q5" s="14"/>
      <c r="R5" s="36"/>
      <c r="T5" s="13" t="s">
        <v>1213</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规划内'!A8</f>
        <v>7</v>
      </c>
      <c r="B7" t="str">
        <f>'附件3 规划内'!B8</f>
        <v>龙亭区城镇居民住房恢复重建</v>
      </c>
      <c r="C7" t="str">
        <f>'附件3 规划内'!C8</f>
        <v>城乡住房</v>
      </c>
      <c r="D7" t="str">
        <f>'附件3 规划内'!D8</f>
        <v>修缮加固38户、原址重建1户</v>
      </c>
      <c r="E7">
        <f>'附件3 规划内'!E8</f>
        <v>17.934</v>
      </c>
      <c r="F7">
        <f>'附件3 规划内'!F8</f>
        <v>17.934</v>
      </c>
      <c r="G7">
        <f>'附件3 规划内'!G8</f>
        <v>0</v>
      </c>
      <c r="H7">
        <f>'附件3 规划内'!H8</f>
        <v>0</v>
      </c>
      <c r="I7" t="str">
        <f>'附件3 规划内'!I8</f>
        <v>完工</v>
      </c>
      <c r="J7">
        <f>'附件3 规划内'!J8</f>
        <v>17.934</v>
      </c>
      <c r="K7" t="str">
        <f>'附件3 规划内'!K8</f>
        <v/>
      </c>
      <c r="L7">
        <f>'附件3 规划内'!L8</f>
        <v>0</v>
      </c>
      <c r="M7">
        <f>'附件3 规划内'!M8</f>
        <v>0</v>
      </c>
      <c r="N7">
        <f>'附件3 规划内'!N8</f>
        <v>0</v>
      </c>
      <c r="O7" t="str">
        <f>'附件3 规划内'!O8</f>
        <v>市住房城乡建设局</v>
      </c>
      <c r="P7" t="str">
        <f>'附件3 规划内'!P8</f>
        <v>龙亭区</v>
      </c>
      <c r="Q7">
        <f>'附件3 规划内'!Q8</f>
        <v>0</v>
      </c>
      <c r="R7">
        <f>'附件3 规划内'!R8</f>
        <v>0</v>
      </c>
      <c r="T7" t="e">
        <f>'附件4 规划外'!#REF!</f>
        <v>#REF!</v>
      </c>
      <c r="U7" t="e">
        <f>'附件4 规划外'!#REF!</f>
        <v>#REF!</v>
      </c>
      <c r="V7" t="e">
        <f>'附件4 规划外'!#REF!</f>
        <v>#REF!</v>
      </c>
      <c r="W7" t="e">
        <f>'附件4 规划外'!#REF!</f>
        <v>#REF!</v>
      </c>
      <c r="X7" t="e">
        <f>'附件4 规划外'!#REF!</f>
        <v>#REF!</v>
      </c>
      <c r="Y7" t="e">
        <f>'附件4 规划外'!#REF!</f>
        <v>#REF!</v>
      </c>
      <c r="Z7" t="e">
        <f>'附件4 规划外'!#REF!</f>
        <v>#REF!</v>
      </c>
      <c r="AA7" t="e">
        <f>'附件4 规划外'!#REF!</f>
        <v>#REF!</v>
      </c>
      <c r="AB7" t="e">
        <f>'附件4 规划外'!#REF!</f>
        <v>#REF!</v>
      </c>
      <c r="AC7" t="e">
        <f>'附件4 规划外'!#REF!</f>
        <v>#REF!</v>
      </c>
      <c r="AD7" t="e">
        <f>'附件4 规划外'!#REF!</f>
        <v>#REF!</v>
      </c>
      <c r="AE7" t="e">
        <f>'附件4 规划外'!#REF!</f>
        <v>#REF!</v>
      </c>
      <c r="AF7" s="26" t="e">
        <f>'附件4 规划外'!#REF!</f>
        <v>#REF!</v>
      </c>
      <c r="AG7" s="26" t="e">
        <f>'附件4 规划外'!#REF!</f>
        <v>#REF!</v>
      </c>
      <c r="AH7" t="e">
        <f>'附件4 规划外'!#REF!</f>
        <v>#REF!</v>
      </c>
      <c r="AI7" t="e">
        <f>'附件4 规划外'!#REF!</f>
        <v>#REF!</v>
      </c>
      <c r="AJ7" t="e">
        <f>'附件4 规划外'!#REF!</f>
        <v>#REF!</v>
      </c>
      <c r="AK7" t="e">
        <f>'附件4 规划外'!#REF!</f>
        <v>#REF!</v>
      </c>
    </row>
    <row r="8" spans="1:37">
      <c r="A8">
        <f>'附件3 规划内'!A52</f>
        <v>51</v>
      </c>
      <c r="B8" t="str">
        <f>'附件3 规划内'!B52</f>
        <v>龙亭区Y023私房院段水毁重建项目</v>
      </c>
      <c r="C8" t="str">
        <f>'附件3 规划内'!C52</f>
        <v>交通</v>
      </c>
      <c r="D8" t="str">
        <f>'附件3 规划内'!D52</f>
        <v>恢复重建道路1.2公里</v>
      </c>
      <c r="E8">
        <f>'附件3 规划内'!E52</f>
        <v>225</v>
      </c>
      <c r="F8">
        <f>'附件3 规划内'!F52</f>
        <v>180</v>
      </c>
      <c r="G8">
        <f>'附件3 规划内'!G52</f>
        <v>45</v>
      </c>
      <c r="H8">
        <f>'附件3 规划内'!H52</f>
        <v>0</v>
      </c>
      <c r="I8" t="str">
        <f>'附件3 规划内'!I52</f>
        <v>完工</v>
      </c>
      <c r="J8">
        <f>'附件3 规划内'!J52</f>
        <v>225</v>
      </c>
      <c r="K8">
        <f>'附件3 规划内'!K52</f>
        <v>45</v>
      </c>
      <c r="L8">
        <f>'附件3 规划内'!L52</f>
        <v>0</v>
      </c>
      <c r="M8" s="26">
        <f>'附件3 规划内'!M52</f>
        <v>44518</v>
      </c>
      <c r="N8" s="26">
        <f>'附件3 规划内'!N52</f>
        <v>44742</v>
      </c>
      <c r="O8" t="str">
        <f>'附件3 规划内'!O52</f>
        <v>市交通运输局</v>
      </c>
      <c r="P8" t="str">
        <f>'附件3 规划内'!P52</f>
        <v>龙亭区</v>
      </c>
      <c r="Q8">
        <f>'附件3 规划内'!Q52</f>
        <v>0</v>
      </c>
      <c r="R8" t="str">
        <f>'附件3 规划内'!R52</f>
        <v>2022年6月底 农村公路</v>
      </c>
      <c r="T8">
        <f>'附件4 规划外'!A96</f>
        <v>106</v>
      </c>
      <c r="U8" t="str">
        <f>'附件4 规划外'!B96</f>
        <v>柳园口乡敬老院重建</v>
      </c>
      <c r="V8" t="str">
        <f>'附件4 规划外'!C96</f>
        <v>民政</v>
      </c>
      <c r="W8" t="str">
        <f>'附件4 规划外'!D96</f>
        <v>敬老院地面提升，拆除扩建18间房屋，排水、道路硬化等基础配套设施</v>
      </c>
      <c r="X8">
        <f>'附件4 规划外'!E96</f>
        <v>128</v>
      </c>
      <c r="Y8">
        <f>'附件4 规划外'!F96</f>
        <v>70</v>
      </c>
      <c r="Z8">
        <f>'附件4 规划外'!G96</f>
        <v>58</v>
      </c>
      <c r="AA8">
        <f>'附件4 规划外'!H96</f>
        <v>0</v>
      </c>
      <c r="AB8" t="str">
        <f>'附件4 规划外'!I96</f>
        <v>完工</v>
      </c>
      <c r="AC8">
        <f>'附件4 规划外'!J96</f>
        <v>128</v>
      </c>
      <c r="AD8">
        <f>'附件4 规划外'!K96</f>
        <v>58</v>
      </c>
      <c r="AE8" t="str">
        <f>'附件4 规划外'!L96</f>
        <v>已完成事项基本情况：1.新建1号楼主体已完成；2.二标材料选购完毕；3.1#楼门窗安装完成90%；4.外墙涂料基本完成。</v>
      </c>
      <c r="AF8" s="26" t="str">
        <f>'附件4 规划外'!M96</f>
        <v>2021年11月</v>
      </c>
      <c r="AG8" s="26">
        <f>'附件4 规划外'!N96</f>
        <v>44834</v>
      </c>
      <c r="AH8" t="str">
        <f>'附件4 规划外'!O96</f>
        <v>市民政局</v>
      </c>
      <c r="AI8" t="str">
        <f>'附件4 规划外'!P96</f>
        <v>龙亭区</v>
      </c>
      <c r="AJ8" t="str">
        <f>'附件4 规划外'!Q96</f>
        <v>原址重建</v>
      </c>
      <c r="AK8">
        <f>'附件4 规划外'!R96</f>
        <v>0</v>
      </c>
    </row>
    <row r="9" spans="1:37">
      <c r="A9">
        <f>'附件3 规划内'!A53</f>
        <v>52</v>
      </c>
      <c r="B9" t="str">
        <f>'附件3 规划内'!B53</f>
        <v>龙亭区X005吴牛线水毁重建项目</v>
      </c>
      <c r="C9" t="str">
        <f>'附件3 规划内'!C53</f>
        <v>交通</v>
      </c>
      <c r="D9" t="str">
        <f>'附件3 规划内'!D53</f>
        <v>恢复重建道路3.6公里</v>
      </c>
      <c r="E9">
        <f>'附件3 规划内'!E53</f>
        <v>369</v>
      </c>
      <c r="F9">
        <f>'附件3 规划内'!F53</f>
        <v>2.5</v>
      </c>
      <c r="G9">
        <f>'附件3 规划内'!G53</f>
        <v>366.5</v>
      </c>
      <c r="H9">
        <f>'附件3 规划内'!H53</f>
        <v>0</v>
      </c>
      <c r="I9" t="str">
        <f>'附件3 规划内'!I53</f>
        <v>完工</v>
      </c>
      <c r="J9">
        <f>'附件3 规划内'!J53</f>
        <v>369</v>
      </c>
      <c r="K9">
        <f>'附件3 规划内'!K53</f>
        <v>366.5</v>
      </c>
      <c r="L9">
        <f>'附件3 规划内'!L53</f>
        <v>0</v>
      </c>
      <c r="M9" s="26">
        <f>'附件3 规划内'!M53</f>
        <v>44545</v>
      </c>
      <c r="N9" s="26">
        <f>'附件3 规划内'!N53</f>
        <v>44742</v>
      </c>
      <c r="O9" t="str">
        <f>'附件3 规划内'!O53</f>
        <v>市交通运输局</v>
      </c>
      <c r="P9" t="str">
        <f>'附件3 规划内'!P53</f>
        <v>龙亭区</v>
      </c>
      <c r="Q9">
        <f>'附件3 规划内'!Q53</f>
        <v>0</v>
      </c>
      <c r="R9" t="str">
        <f>'附件3 规划内'!R53</f>
        <v>2022年6月底 农村公路</v>
      </c>
      <c r="T9" t="e">
        <f>'附件4 规划外'!#REF!</f>
        <v>#REF!</v>
      </c>
      <c r="U9" t="e">
        <f>'附件4 规划外'!#REF!</f>
        <v>#REF!</v>
      </c>
      <c r="V9" t="e">
        <f>'附件4 规划外'!#REF!</f>
        <v>#REF!</v>
      </c>
      <c r="W9" t="e">
        <f>'附件4 规划外'!#REF!</f>
        <v>#REF!</v>
      </c>
      <c r="X9" t="e">
        <f>'附件4 规划外'!#REF!</f>
        <v>#REF!</v>
      </c>
      <c r="Y9" t="e">
        <f>'附件4 规划外'!#REF!</f>
        <v>#REF!</v>
      </c>
      <c r="Z9" t="e">
        <f>'附件4 规划外'!#REF!</f>
        <v>#REF!</v>
      </c>
      <c r="AA9" t="e">
        <f>'附件4 规划外'!#REF!</f>
        <v>#REF!</v>
      </c>
      <c r="AB9" t="e">
        <f>'附件4 规划外'!#REF!</f>
        <v>#REF!</v>
      </c>
      <c r="AC9" t="e">
        <f>'附件4 规划外'!#REF!</f>
        <v>#REF!</v>
      </c>
      <c r="AD9" t="e">
        <f>'附件4 规划外'!#REF!</f>
        <v>#REF!</v>
      </c>
      <c r="AE9" t="e">
        <f>'附件4 规划外'!#REF!</f>
        <v>#REF!</v>
      </c>
      <c r="AF9" t="e">
        <f>'附件4 规划外'!#REF!</f>
        <v>#REF!</v>
      </c>
      <c r="AG9" t="e">
        <f>'附件4 规划外'!#REF!</f>
        <v>#REF!</v>
      </c>
      <c r="AH9" t="e">
        <f>'附件4 规划外'!#REF!</f>
        <v>#REF!</v>
      </c>
      <c r="AI9" t="e">
        <f>'附件4 规划外'!#REF!</f>
        <v>#REF!</v>
      </c>
      <c r="AJ9" t="e">
        <f>'附件4 规划外'!#REF!</f>
        <v>#REF!</v>
      </c>
      <c r="AK9" t="e">
        <f>'附件4 规划外'!#REF!</f>
        <v>#REF!</v>
      </c>
    </row>
    <row r="10" spans="1:18">
      <c r="A10">
        <f>'附件3 规划内'!A54</f>
        <v>53</v>
      </c>
      <c r="B10" t="str">
        <f>'附件3 规划内'!B54</f>
        <v>龙亭区X004刘辛线水毁重建项目</v>
      </c>
      <c r="C10" t="str">
        <f>'附件3 规划内'!C54</f>
        <v>交通</v>
      </c>
      <c r="D10" t="str">
        <f>'附件3 规划内'!D54</f>
        <v>恢复重建道路4.8公里</v>
      </c>
      <c r="E10">
        <f>'附件3 规划内'!E54</f>
        <v>507</v>
      </c>
      <c r="F10">
        <f>'附件3 规划内'!F54</f>
        <v>2.5</v>
      </c>
      <c r="G10">
        <f>'附件3 规划内'!G54</f>
        <v>504.5</v>
      </c>
      <c r="H10">
        <f>'附件3 规划内'!H54</f>
        <v>0</v>
      </c>
      <c r="I10" t="str">
        <f>'附件3 规划内'!I54</f>
        <v>完工</v>
      </c>
      <c r="J10">
        <f>'附件3 规划内'!J54</f>
        <v>507</v>
      </c>
      <c r="K10">
        <f>'附件3 规划内'!K54</f>
        <v>504.5</v>
      </c>
      <c r="L10">
        <f>'附件3 规划内'!L54</f>
        <v>0</v>
      </c>
      <c r="M10" s="26">
        <f>'附件3 规划内'!M54</f>
        <v>44621</v>
      </c>
      <c r="N10" s="26">
        <f>'附件3 规划内'!N54</f>
        <v>44742</v>
      </c>
      <c r="O10" t="str">
        <f>'附件3 规划内'!O54</f>
        <v>市交通运输局</v>
      </c>
      <c r="P10" t="str">
        <f>'附件3 规划内'!P54</f>
        <v>龙亭区</v>
      </c>
      <c r="Q10">
        <f>'附件3 规划内'!Q54</f>
        <v>0</v>
      </c>
      <c r="R10" t="str">
        <f>'附件3 规划内'!R54</f>
        <v>2022年6月底 农村公路</v>
      </c>
    </row>
  </sheetData>
  <sheetProtection formatCells="0" formatColumns="0" formatRows="0" sort="0" autoFilter="0"/>
  <mergeCells count="5">
    <mergeCell ref="A1:G1"/>
    <mergeCell ref="H1:N1"/>
    <mergeCell ref="O1:U1"/>
    <mergeCell ref="A5:R5"/>
    <mergeCell ref="T5:AK5"/>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0"/>
  <sheetViews>
    <sheetView workbookViewId="0">
      <selection activeCell="L14" sqref="L14"/>
    </sheetView>
  </sheetViews>
  <sheetFormatPr defaultColWidth="9" defaultRowHeight="13.5"/>
  <cols>
    <col min="13" max="13" width="11.9083333333333" customWidth="1"/>
    <col min="14" max="14" width="10.6333333333333" customWidth="1"/>
    <col min="32" max="32" width="11.9083333333333" customWidth="1"/>
    <col min="33" max="33" width="10.6333333333333" customWidth="1"/>
  </cols>
  <sheetData>
    <row r="1" ht="14.15" customHeight="1" spans="1:21">
      <c r="A1" s="2" t="s">
        <v>1214</v>
      </c>
      <c r="B1" s="3"/>
      <c r="C1" s="3"/>
      <c r="D1" s="3"/>
      <c r="E1" s="3"/>
      <c r="F1" s="3"/>
      <c r="G1" s="4"/>
      <c r="H1" s="5" t="s">
        <v>1215</v>
      </c>
      <c r="I1" s="5"/>
      <c r="J1" s="5"/>
      <c r="K1" s="5"/>
      <c r="L1" s="5"/>
      <c r="M1" s="5"/>
      <c r="N1" s="5"/>
      <c r="O1" s="16" t="s">
        <v>1215</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1</v>
      </c>
      <c r="C3" s="10">
        <f t="shared" ref="C3:F4" si="0">J3+Q3</f>
        <v>1009.67</v>
      </c>
      <c r="D3" s="10">
        <f t="shared" si="0"/>
        <v>1</v>
      </c>
      <c r="E3" s="10">
        <f t="shared" si="0"/>
        <v>0</v>
      </c>
      <c r="F3" s="10">
        <f t="shared" si="0"/>
        <v>500</v>
      </c>
      <c r="G3" s="11">
        <f>IF(C3=0,"-",ROUND(F3/C3,3))</f>
        <v>0.495</v>
      </c>
      <c r="H3" s="8" t="s">
        <v>1146</v>
      </c>
      <c r="I3" s="17">
        <f>COUNT(E7:E122)</f>
        <v>0</v>
      </c>
      <c r="J3" s="21">
        <f>SUM(E7:E122)</f>
        <v>0</v>
      </c>
      <c r="K3" s="21">
        <f>COUNTIF(I7:I122,"在建")+COUNTIF(I7:I122,"完工")</f>
        <v>0</v>
      </c>
      <c r="L3" s="21">
        <f>COUNTIF(I7:I122,"完工")</f>
        <v>0</v>
      </c>
      <c r="M3" s="17">
        <f>SUM(J7:J122)</f>
        <v>0</v>
      </c>
      <c r="N3" s="22" t="str">
        <f>IF(J3=0,"-",ROUND(M3/J3,3))</f>
        <v>-</v>
      </c>
      <c r="O3" s="19" t="s">
        <v>1146</v>
      </c>
      <c r="P3" s="20">
        <f>COUNT(X7:X122)</f>
        <v>1</v>
      </c>
      <c r="Q3" s="24">
        <f>SUM(X7:X122)</f>
        <v>1009.67</v>
      </c>
      <c r="R3" s="24">
        <f>COUNTIF(AB7:AB122,"在建")+COUNTIF(AB7:AB122,"完工")</f>
        <v>1</v>
      </c>
      <c r="S3" s="24">
        <f>COUNTIF(AB7:AB122,"完工")</f>
        <v>0</v>
      </c>
      <c r="T3" s="20">
        <f>SUM(AC7:AC122)</f>
        <v>500</v>
      </c>
      <c r="U3" s="25">
        <f>IF(Q3=0,"-",ROUND(T3/Q3,3))</f>
        <v>0.495</v>
      </c>
    </row>
    <row r="4" ht="27" spans="1:21">
      <c r="A4" s="9" t="s">
        <v>1147</v>
      </c>
      <c r="B4" s="10">
        <f>I4+P4</f>
        <v>1</v>
      </c>
      <c r="C4" s="10">
        <f t="shared" si="0"/>
        <v>1009.67</v>
      </c>
      <c r="D4" s="10">
        <f t="shared" si="0"/>
        <v>1</v>
      </c>
      <c r="E4" s="10">
        <f t="shared" si="0"/>
        <v>0</v>
      </c>
      <c r="F4" s="10">
        <f t="shared" si="0"/>
        <v>500</v>
      </c>
      <c r="G4" s="12">
        <f>IF(C4=0,"-",ROUND(F4/C4,3))</f>
        <v>0.495</v>
      </c>
      <c r="H4" s="8" t="s">
        <v>1148</v>
      </c>
      <c r="I4" s="17">
        <f>COUNTIF(G7:G122,"&gt;0")</f>
        <v>0</v>
      </c>
      <c r="J4" s="21">
        <f>SUM(G7:G122)</f>
        <v>0</v>
      </c>
      <c r="K4" s="21">
        <f>COUNTIFS(G7:G122,"&gt;0",I7:I122,"完工")+COUNTIFS(G7:G122,"&gt;0",I7:I122,"在建")</f>
        <v>0</v>
      </c>
      <c r="L4" s="21">
        <f>COUNTIFS(G7:G122,"&gt;0",I7:I122,"完工")</f>
        <v>0</v>
      </c>
      <c r="M4" s="17">
        <f>SUM(K7:K122)</f>
        <v>0</v>
      </c>
      <c r="N4" s="22" t="str">
        <f>IF(J4=0,"-",ROUND(M4/J4,3))</f>
        <v>-</v>
      </c>
      <c r="O4" s="19" t="s">
        <v>1148</v>
      </c>
      <c r="P4" s="20">
        <f>COUNTIF(Z7:Z122,"&gt;0")</f>
        <v>1</v>
      </c>
      <c r="Q4" s="24">
        <f>SUM(Z7:Z122)</f>
        <v>1009.67</v>
      </c>
      <c r="R4" s="24">
        <f>COUNTIFS(Z7:Z122,"&gt;0",AB7:AB122,"完工")+COUNTIFS(Z7:Z122,"&gt;0",AB7:AB122,"在建")</f>
        <v>1</v>
      </c>
      <c r="S4" s="24">
        <f>COUNTIFS(Z7:Z122,"&gt;0",AB7:AB122,"完工")</f>
        <v>0</v>
      </c>
      <c r="T4" s="20">
        <f>SUM(AD7:AD122)</f>
        <v>500</v>
      </c>
      <c r="U4" s="25">
        <f>IF(Q4=0,"-",ROUND(T4/Q4,3))</f>
        <v>0.495</v>
      </c>
    </row>
    <row r="5" s="1" customFormat="1" spans="1:37">
      <c r="A5" s="13" t="s">
        <v>1216</v>
      </c>
      <c r="B5" s="14"/>
      <c r="C5" s="14"/>
      <c r="D5" s="14"/>
      <c r="E5" s="14"/>
      <c r="F5" s="14"/>
      <c r="G5" s="14"/>
      <c r="H5" s="14"/>
      <c r="I5" s="14"/>
      <c r="J5" s="14"/>
      <c r="K5" s="14"/>
      <c r="L5" s="14"/>
      <c r="M5" s="14"/>
      <c r="N5" s="14"/>
      <c r="O5" s="14"/>
      <c r="P5" s="14"/>
      <c r="Q5" s="14"/>
      <c r="R5" s="36"/>
      <c r="T5" s="13" t="s">
        <v>1217</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20:37">
      <c r="T7">
        <f>'附件4 规划外'!A222</f>
        <v>236</v>
      </c>
      <c r="U7" t="str">
        <f>'附件4 规划外'!B222</f>
        <v>鼓楼区西司门办事处观前街片区老旧小区改造项目</v>
      </c>
      <c r="V7" t="str">
        <f>'附件4 规划外'!C222</f>
        <v>其他</v>
      </c>
      <c r="W7" t="str">
        <f>'附件4 规划外'!D222</f>
        <v>项目改造内容主要是对道路、大门及围墙、照明系统、消防、
安防工程、管线入地工程及标识系统等进行改造。</v>
      </c>
      <c r="X7">
        <f>'附件4 规划外'!E222</f>
        <v>1009.67</v>
      </c>
      <c r="Y7">
        <f>'附件4 规划外'!F222</f>
        <v>0</v>
      </c>
      <c r="Z7">
        <f>'附件4 规划外'!G222</f>
        <v>1009.67</v>
      </c>
      <c r="AA7">
        <f>'附件4 规划外'!H222</f>
        <v>0</v>
      </c>
      <c r="AB7" t="str">
        <f>'附件4 规划外'!I222</f>
        <v>在建</v>
      </c>
      <c r="AC7">
        <f>'附件4 规划外'!J222</f>
        <v>500</v>
      </c>
      <c r="AD7">
        <f>'附件4 规划外'!K222</f>
        <v>500</v>
      </c>
      <c r="AE7">
        <f>'附件4 规划外'!L222</f>
        <v>0</v>
      </c>
      <c r="AF7">
        <f>'附件4 规划外'!M222</f>
        <v>44712</v>
      </c>
      <c r="AG7">
        <f>'附件4 规划外'!N222</f>
        <v>44926</v>
      </c>
      <c r="AH7" t="str">
        <f>'附件4 规划外'!O222</f>
        <v>市住房城乡建设局</v>
      </c>
      <c r="AI7" t="str">
        <f>'附件4 规划外'!P222</f>
        <v>鼓楼区</v>
      </c>
      <c r="AJ7">
        <f>'附件4 规划外'!Q222</f>
        <v>0</v>
      </c>
      <c r="AK7">
        <f>'附件4 规划外'!R222</f>
        <v>0</v>
      </c>
    </row>
    <row r="8" spans="13:33">
      <c r="M8" s="26"/>
      <c r="N8" s="26"/>
      <c r="AF8" s="26"/>
      <c r="AG8" s="26"/>
    </row>
    <row r="9" spans="13:14">
      <c r="M9" s="26"/>
      <c r="N9" s="26"/>
    </row>
    <row r="10" spans="13:14">
      <c r="M10" s="26"/>
      <c r="N10" s="26"/>
    </row>
  </sheetData>
  <mergeCells count="5">
    <mergeCell ref="A1:G1"/>
    <mergeCell ref="H1:N1"/>
    <mergeCell ref="O1:U1"/>
    <mergeCell ref="A5:R5"/>
    <mergeCell ref="T5:AK5"/>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8"/>
  <sheetViews>
    <sheetView zoomScale="90" zoomScaleNormal="90" workbookViewId="0">
      <selection activeCell="Q28" sqref="Q28"/>
    </sheetView>
  </sheetViews>
  <sheetFormatPr defaultColWidth="9" defaultRowHeight="13.5" outlineLevelRow="7"/>
  <cols>
    <col min="32" max="32" width="10.6333333333333" customWidth="1"/>
    <col min="33" max="33" width="11.9083333333333" customWidth="1"/>
  </cols>
  <sheetData>
    <row r="1" ht="14.15" customHeight="1" spans="1:21">
      <c r="A1" s="2" t="s">
        <v>1218</v>
      </c>
      <c r="B1" s="3"/>
      <c r="C1" s="3"/>
      <c r="D1" s="3"/>
      <c r="E1" s="3"/>
      <c r="F1" s="3"/>
      <c r="G1" s="4"/>
      <c r="H1" s="5" t="s">
        <v>1219</v>
      </c>
      <c r="I1" s="5"/>
      <c r="J1" s="5"/>
      <c r="K1" s="5"/>
      <c r="L1" s="5"/>
      <c r="M1" s="5"/>
      <c r="N1" s="5"/>
      <c r="O1" s="16" t="s">
        <v>1219</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3</v>
      </c>
      <c r="C3" s="10">
        <f t="shared" ref="C3:F4" si="0">J3+Q3</f>
        <v>13576</v>
      </c>
      <c r="D3" s="10">
        <f t="shared" si="0"/>
        <v>3</v>
      </c>
      <c r="E3" s="10">
        <f t="shared" si="0"/>
        <v>1</v>
      </c>
      <c r="F3" s="10">
        <f t="shared" si="0"/>
        <v>13231</v>
      </c>
      <c r="G3" s="11">
        <f>IF(C3=0,"-",ROUND(F3/C3,3))</f>
        <v>0.975</v>
      </c>
      <c r="H3" s="8" t="s">
        <v>1146</v>
      </c>
      <c r="I3" s="17">
        <f>COUNT(E7:E122)</f>
        <v>1</v>
      </c>
      <c r="J3" s="21">
        <f>SUM(E7:E122)</f>
        <v>76</v>
      </c>
      <c r="K3" s="21">
        <f>COUNTIF(I7:I122,"在建")+COUNTIF(I7:I122,"完工")</f>
        <v>1</v>
      </c>
      <c r="L3" s="21">
        <f>COUNTIF(I7:I122,"完工")</f>
        <v>1</v>
      </c>
      <c r="M3" s="17">
        <f>SUM(J7:J122)</f>
        <v>76</v>
      </c>
      <c r="N3" s="22">
        <f>IF(J3=0,"-",ROUND(M3/J3,3))</f>
        <v>1</v>
      </c>
      <c r="O3" s="19" t="s">
        <v>1146</v>
      </c>
      <c r="P3" s="20">
        <f>COUNT(X7:X122)</f>
        <v>2</v>
      </c>
      <c r="Q3" s="24">
        <f>SUM(X7:X122)</f>
        <v>13500</v>
      </c>
      <c r="R3" s="24">
        <f>COUNTIF(AB7:AB122,"在建")+COUNTIF(AB7:AB122,"完工")</f>
        <v>2</v>
      </c>
      <c r="S3" s="24">
        <f>COUNTIF(AB7:AB122,"完工")</f>
        <v>0</v>
      </c>
      <c r="T3" s="20">
        <f>SUM(AC7:AC122)</f>
        <v>13155</v>
      </c>
      <c r="U3" s="25">
        <f>IF(Q3=0,"-",ROUND(T3/Q3,3))</f>
        <v>0.974</v>
      </c>
    </row>
    <row r="4" ht="27" spans="1:21">
      <c r="A4" s="9" t="s">
        <v>1147</v>
      </c>
      <c r="B4" s="10">
        <f>I4+P4</f>
        <v>2</v>
      </c>
      <c r="C4" s="10">
        <f t="shared" si="0"/>
        <v>13500</v>
      </c>
      <c r="D4" s="10">
        <f t="shared" si="0"/>
        <v>2</v>
      </c>
      <c r="E4" s="10">
        <f t="shared" si="0"/>
        <v>0</v>
      </c>
      <c r="F4" s="10">
        <f t="shared" si="0"/>
        <v>13155</v>
      </c>
      <c r="G4" s="12">
        <f>IF(C4=0,"-",ROUND(F4/C4,3))</f>
        <v>0.974</v>
      </c>
      <c r="H4" s="8" t="s">
        <v>1148</v>
      </c>
      <c r="I4" s="17">
        <f>COUNTIF(G7:G122,"&gt;0")</f>
        <v>0</v>
      </c>
      <c r="J4" s="21">
        <f>SUM(G7:G122)</f>
        <v>0</v>
      </c>
      <c r="K4" s="21">
        <f>COUNTIFS(G7:G122,"&gt;0",I7:I122,"完工")+COUNTIFS(G7:G122,"&gt;0",I7:I122,"在建")</f>
        <v>0</v>
      </c>
      <c r="L4" s="21">
        <f>COUNTIFS(G7:G122,"&gt;0",I7:I122,"完工")</f>
        <v>0</v>
      </c>
      <c r="M4" s="17">
        <f>SUM(K7:K122)</f>
        <v>0</v>
      </c>
      <c r="N4" s="22" t="str">
        <f>IF(J4=0,"-",ROUND(M4/J4,3))</f>
        <v>-</v>
      </c>
      <c r="O4" s="19" t="s">
        <v>1148</v>
      </c>
      <c r="P4" s="20">
        <f>COUNTIF(Z7:Z122,"&gt;0")</f>
        <v>2</v>
      </c>
      <c r="Q4" s="24">
        <f>SUM(Z7:Z122)</f>
        <v>13500</v>
      </c>
      <c r="R4" s="24">
        <f>COUNTIFS(Z7:Z122,"&gt;0",AB7:AB122,"完工")+COUNTIFS(Z7:Z122,"&gt;0",AB7:AB122,"在建")</f>
        <v>2</v>
      </c>
      <c r="S4" s="24">
        <f>COUNTIFS(Z7:Z122,"&gt;0",AB7:AB122,"完工")</f>
        <v>0</v>
      </c>
      <c r="T4" s="20">
        <f>SUM(AD7:AD122)</f>
        <v>13155</v>
      </c>
      <c r="U4" s="25">
        <f>IF(Q4=0,"-",ROUND(T4/Q4,3))</f>
        <v>0.974</v>
      </c>
    </row>
    <row r="5" s="1" customFormat="1" spans="1:37">
      <c r="A5" s="13" t="s">
        <v>1220</v>
      </c>
      <c r="B5" s="14"/>
      <c r="C5" s="14"/>
      <c r="D5" s="14"/>
      <c r="E5" s="14"/>
      <c r="F5" s="14"/>
      <c r="G5" s="14"/>
      <c r="H5" s="14"/>
      <c r="I5" s="14"/>
      <c r="J5" s="14"/>
      <c r="K5" s="14"/>
      <c r="L5" s="14"/>
      <c r="M5" s="14"/>
      <c r="N5" s="14"/>
      <c r="O5" s="14"/>
      <c r="P5" s="14"/>
      <c r="Q5" s="14"/>
      <c r="R5" s="36"/>
      <c r="T5" s="13" t="s">
        <v>1221</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规划内'!A7</f>
        <v>6</v>
      </c>
      <c r="B7" t="str">
        <f>'附件3 规划内'!B7</f>
        <v>顺河回族区村民住房重建</v>
      </c>
      <c r="C7" t="str">
        <f>'附件3 规划内'!C7</f>
        <v>城乡住房</v>
      </c>
      <c r="D7" t="str">
        <f>'附件3 规划内'!D7</f>
        <v>原址重建19户</v>
      </c>
      <c r="E7">
        <f>'附件3 规划内'!E7</f>
        <v>76</v>
      </c>
      <c r="F7">
        <f>'附件3 规划内'!F7</f>
        <v>76</v>
      </c>
      <c r="G7">
        <f>'附件3 规划内'!G7</f>
        <v>0</v>
      </c>
      <c r="H7">
        <f>'附件3 规划内'!H7</f>
        <v>0</v>
      </c>
      <c r="I7" t="str">
        <f>'附件3 规划内'!I7</f>
        <v>完工</v>
      </c>
      <c r="J7">
        <f>'附件3 规划内'!J7</f>
        <v>76</v>
      </c>
      <c r="K7" t="str">
        <f>'附件3 规划内'!K7</f>
        <v/>
      </c>
      <c r="L7">
        <f>'附件3 规划内'!L7</f>
        <v>0</v>
      </c>
      <c r="M7">
        <f>'附件3 规划内'!M7</f>
        <v>0</v>
      </c>
      <c r="N7">
        <f>'附件3 规划内'!N7</f>
        <v>0</v>
      </c>
      <c r="O7" t="str">
        <f>'附件3 规划内'!O7</f>
        <v>市住房城乡建设局</v>
      </c>
      <c r="P7" t="str">
        <f>'附件3 规划内'!P7</f>
        <v>顺河回族区</v>
      </c>
      <c r="Q7">
        <f>'附件3 规划内'!Q7</f>
        <v>0</v>
      </c>
      <c r="R7">
        <f>'附件3 规划内'!R7</f>
        <v>0</v>
      </c>
      <c r="T7">
        <f>'附件4 规划外'!A97</f>
        <v>107</v>
      </c>
      <c r="U7" t="str">
        <f>'附件4 规划外'!B97</f>
        <v>顺河回族区养老服务设施灾后建设改造提升工程</v>
      </c>
      <c r="V7" t="str">
        <f>'附件4 规划外'!C97</f>
        <v>民政</v>
      </c>
      <c r="W7" t="str">
        <f>'附件4 规划外'!D97</f>
        <v>内电厂工业街道综合养老服务中心项目</v>
      </c>
      <c r="X7">
        <f>'附件4 规划外'!E97</f>
        <v>6000</v>
      </c>
      <c r="Y7">
        <f>'附件4 规划外'!F97</f>
        <v>0</v>
      </c>
      <c r="Z7">
        <f>'附件4 规划外'!G97</f>
        <v>6000</v>
      </c>
      <c r="AA7">
        <f>'附件4 规划外'!H97</f>
        <v>0</v>
      </c>
      <c r="AB7" t="str">
        <f>'附件4 规划外'!I97</f>
        <v>在建</v>
      </c>
      <c r="AC7">
        <f>'附件4 规划外'!J97</f>
        <v>5880</v>
      </c>
      <c r="AD7">
        <f>'附件4 规划外'!K97</f>
        <v>5880</v>
      </c>
      <c r="AE7" t="str">
        <f>'附件4 规划外'!L97</f>
        <v>主体面积6000平方已完工，外墙装修已完工、内部水电安装已完工</v>
      </c>
      <c r="AF7" s="26">
        <f>'附件4 规划外'!M97</f>
        <v>44743</v>
      </c>
      <c r="AG7" s="26">
        <f>'附件4 规划外'!N97</f>
        <v>44896</v>
      </c>
      <c r="AH7" t="str">
        <f>'附件4 规划外'!O97</f>
        <v>市民政局</v>
      </c>
      <c r="AI7" t="str">
        <f>'附件4 规划外'!P97</f>
        <v>顺河回族区</v>
      </c>
      <c r="AJ7">
        <f>'附件4 规划外'!Q97</f>
        <v>36.6</v>
      </c>
      <c r="AK7">
        <f>'附件4 规划外'!R97</f>
        <v>0</v>
      </c>
    </row>
    <row r="8" spans="20:37">
      <c r="T8">
        <f>'附件4 规划外'!A98</f>
        <v>108</v>
      </c>
      <c r="U8" t="str">
        <f>'附件4 规划外'!B98</f>
        <v>顺河回族区应急救援中心暨养老院医养结合项目</v>
      </c>
      <c r="V8" t="str">
        <f>'附件4 规划外'!C98</f>
        <v>民政</v>
      </c>
      <c r="W8" t="str">
        <f>'附件4 规划外'!D98</f>
        <v>汴京路与东昌路交叉口建设疾控中心项目</v>
      </c>
      <c r="X8">
        <f>'附件4 规划外'!E98</f>
        <v>7500</v>
      </c>
      <c r="Y8">
        <f>'附件4 规划外'!F98</f>
        <v>0</v>
      </c>
      <c r="Z8">
        <f>'附件4 规划外'!G98</f>
        <v>7500</v>
      </c>
      <c r="AA8">
        <f>'附件4 规划外'!H98</f>
        <v>0</v>
      </c>
      <c r="AB8" t="str">
        <f>'附件4 规划外'!I98</f>
        <v>在建</v>
      </c>
      <c r="AC8">
        <f>'附件4 规划外'!J98</f>
        <v>7275</v>
      </c>
      <c r="AD8">
        <f>'附件4 规划外'!K98</f>
        <v>7275</v>
      </c>
      <c r="AE8" t="str">
        <f>'附件4 规划外'!L98</f>
        <v>主体面积4000平方已完工</v>
      </c>
      <c r="AF8" s="26">
        <f>'附件4 规划外'!M98</f>
        <v>44743</v>
      </c>
      <c r="AG8" s="26">
        <f>'附件4 规划外'!N98</f>
        <v>44896</v>
      </c>
      <c r="AH8" t="str">
        <f>'附件4 规划外'!O98</f>
        <v>市民政局</v>
      </c>
      <c r="AI8" t="str">
        <f>'附件4 规划外'!P98</f>
        <v>顺河回族区</v>
      </c>
      <c r="AJ8">
        <f>'附件4 规划外'!Q98</f>
        <v>6</v>
      </c>
      <c r="AK8">
        <f>'附件4 规划外'!R98</f>
        <v>0</v>
      </c>
    </row>
  </sheetData>
  <sheetProtection sheet="1" formatCells="0" formatColumns="0" formatRows="0" sort="0" autoFilter="0" objects="1" scenarios="1"/>
  <mergeCells count="5">
    <mergeCell ref="A1:G1"/>
    <mergeCell ref="H1:N1"/>
    <mergeCell ref="O1:U1"/>
    <mergeCell ref="A5:R5"/>
    <mergeCell ref="T5:AK5"/>
  </mergeCell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0"/>
  <sheetViews>
    <sheetView zoomScale="90" zoomScaleNormal="90" workbookViewId="0">
      <pane ySplit="6" topLeftCell="A7" activePane="bottomLeft" state="frozen"/>
      <selection/>
      <selection pane="bottomLeft" activeCell="G25" sqref="G25"/>
    </sheetView>
  </sheetViews>
  <sheetFormatPr defaultColWidth="9" defaultRowHeight="13.5"/>
  <cols>
    <col min="13" max="14" width="11.9083333333333" customWidth="1"/>
  </cols>
  <sheetData>
    <row r="1" ht="14.15" customHeight="1" spans="1:21">
      <c r="A1" s="2" t="s">
        <v>1222</v>
      </c>
      <c r="B1" s="3"/>
      <c r="C1" s="3"/>
      <c r="D1" s="3"/>
      <c r="E1" s="3"/>
      <c r="F1" s="3"/>
      <c r="G1" s="4"/>
      <c r="H1" s="5" t="s">
        <v>1223</v>
      </c>
      <c r="I1" s="5"/>
      <c r="J1" s="5"/>
      <c r="K1" s="5"/>
      <c r="L1" s="5"/>
      <c r="M1" s="5"/>
      <c r="N1" s="5"/>
      <c r="O1" s="16" t="s">
        <v>1223</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5</v>
      </c>
      <c r="C3" s="10">
        <f t="shared" ref="C3:F4" si="0">J3+Q3</f>
        <v>9579.3</v>
      </c>
      <c r="D3" s="10">
        <f t="shared" si="0"/>
        <v>5</v>
      </c>
      <c r="E3" s="10">
        <f t="shared" si="0"/>
        <v>3</v>
      </c>
      <c r="F3" s="10">
        <f t="shared" si="0"/>
        <v>5363.3</v>
      </c>
      <c r="G3" s="11">
        <f>IF(C3=0,"-",ROUND(F3/C3,3))</f>
        <v>0.56</v>
      </c>
      <c r="H3" s="8" t="s">
        <v>1146</v>
      </c>
      <c r="I3" s="17">
        <f>COUNT(E7:E122)</f>
        <v>4</v>
      </c>
      <c r="J3" s="21">
        <f>SUM(E7:E122)</f>
        <v>5579.3</v>
      </c>
      <c r="K3" s="21">
        <f>COUNTIF(I7:I122,"在建")+COUNTIF(I7:I122,"完工")</f>
        <v>4</v>
      </c>
      <c r="L3" s="21">
        <f>COUNTIF(I7:I122,"完工")</f>
        <v>3</v>
      </c>
      <c r="M3" s="17">
        <f>SUM(J7:J122)</f>
        <v>5342.3</v>
      </c>
      <c r="N3" s="22">
        <f>IF(J3=0,"-",ROUND(M3/J3,3))</f>
        <v>0.958</v>
      </c>
      <c r="O3" s="19" t="s">
        <v>1146</v>
      </c>
      <c r="P3" s="20">
        <f>COUNT(X7:X122)</f>
        <v>1</v>
      </c>
      <c r="Q3" s="24">
        <f>SUM(X7:X122)</f>
        <v>4000</v>
      </c>
      <c r="R3" s="24">
        <f>COUNTIF(AB7:AB122,"在建")+COUNTIF(AB7:AB122,"完工")</f>
        <v>1</v>
      </c>
      <c r="S3" s="24">
        <f>COUNTIF(AB7:AB122,"完工")</f>
        <v>0</v>
      </c>
      <c r="T3" s="20">
        <f>SUM(AC7:AC122)</f>
        <v>21</v>
      </c>
      <c r="U3" s="25">
        <f>IF(Q3=0,"-",ROUND(T3/Q3,3))</f>
        <v>0.005</v>
      </c>
    </row>
    <row r="4" ht="27" spans="1:21">
      <c r="A4" s="9" t="s">
        <v>1147</v>
      </c>
      <c r="B4" s="10">
        <f>I4+P4</f>
        <v>3</v>
      </c>
      <c r="C4" s="10">
        <f t="shared" si="0"/>
        <v>4368</v>
      </c>
      <c r="D4" s="10">
        <f t="shared" si="0"/>
        <v>3</v>
      </c>
      <c r="E4" s="10">
        <f t="shared" si="0"/>
        <v>1</v>
      </c>
      <c r="F4" s="10">
        <f t="shared" si="0"/>
        <v>2152</v>
      </c>
      <c r="G4" s="12">
        <f>IF(C4=0,"-",ROUND(F4/C4,3))</f>
        <v>0.493</v>
      </c>
      <c r="H4" s="8" t="s">
        <v>1148</v>
      </c>
      <c r="I4" s="17">
        <f>COUNTIF(G7:G122,"&gt;0")</f>
        <v>2</v>
      </c>
      <c r="J4" s="21">
        <f>SUM(G7:G122)</f>
        <v>2368</v>
      </c>
      <c r="K4" s="21">
        <f>COUNTIFS(G7:G122,"&gt;0",I7:I122,"完工")+COUNTIFS(G7:G122,"&gt;0",I7:I122,"在建")</f>
        <v>2</v>
      </c>
      <c r="L4" s="21">
        <f>COUNTIFS(G7:G122,"&gt;0",I7:I122,"完工")</f>
        <v>1</v>
      </c>
      <c r="M4" s="17">
        <f>SUM(K7:K122)</f>
        <v>2131</v>
      </c>
      <c r="N4" s="22">
        <f>IF(J4=0,"-",ROUND(M4/J4,3))</f>
        <v>0.9</v>
      </c>
      <c r="O4" s="19" t="s">
        <v>1148</v>
      </c>
      <c r="P4" s="20">
        <f>COUNTIF(Z7:Z122,"&gt;0")</f>
        <v>1</v>
      </c>
      <c r="Q4" s="24">
        <f>SUM(Z7:Z122)</f>
        <v>2000</v>
      </c>
      <c r="R4" s="24">
        <f>COUNTIFS(Z7:Z122,"&gt;0",AB7:AB122,"完工")+COUNTIFS(Z7:Z122,"&gt;0",AB7:AB122,"在建")</f>
        <v>1</v>
      </c>
      <c r="S4" s="24">
        <f>COUNTIFS(Z7:Z122,"&gt;0",AB7:AB122,"完工")</f>
        <v>0</v>
      </c>
      <c r="T4" s="20">
        <f>SUM(AD7:AD122)</f>
        <v>21</v>
      </c>
      <c r="U4" s="25">
        <f>IF(Q4=0,"-",ROUND(T4/Q4,3))</f>
        <v>0.011</v>
      </c>
    </row>
    <row r="5" s="1" customFormat="1" spans="1:37">
      <c r="A5" s="13" t="s">
        <v>1224</v>
      </c>
      <c r="B5" s="14"/>
      <c r="C5" s="14"/>
      <c r="D5" s="14"/>
      <c r="E5" s="14"/>
      <c r="F5" s="14"/>
      <c r="G5" s="14"/>
      <c r="H5" s="14"/>
      <c r="I5" s="14"/>
      <c r="J5" s="14"/>
      <c r="K5" s="14"/>
      <c r="L5" s="14"/>
      <c r="M5" s="14"/>
      <c r="N5" s="14"/>
      <c r="O5" s="14"/>
      <c r="P5" s="14"/>
      <c r="Q5" s="14"/>
      <c r="R5" s="36"/>
      <c r="T5" s="13" t="s">
        <v>1225</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规划内'!A6</f>
        <v>5</v>
      </c>
      <c r="B7" t="str">
        <f>'附件3 规划内'!B6</f>
        <v>禹王台区村民住房重建</v>
      </c>
      <c r="C7" t="str">
        <f>'附件3 规划内'!C6</f>
        <v>城乡住房</v>
      </c>
      <c r="D7" t="str">
        <f>'附件3 规划内'!D6</f>
        <v>修缮加固2户、原址重建1户、</v>
      </c>
      <c r="E7">
        <f>'附件3 规划内'!E6</f>
        <v>2.7</v>
      </c>
      <c r="F7">
        <f>'附件3 规划内'!F6</f>
        <v>2.7</v>
      </c>
      <c r="G7">
        <f>'附件3 规划内'!G6</f>
        <v>0</v>
      </c>
      <c r="H7">
        <f>'附件3 规划内'!H6</f>
        <v>0</v>
      </c>
      <c r="I7" t="str">
        <f>'附件3 规划内'!I6</f>
        <v>完工</v>
      </c>
      <c r="J7">
        <f>'附件3 规划内'!J6</f>
        <v>2.7</v>
      </c>
      <c r="K7" t="str">
        <f>'附件3 规划内'!K6</f>
        <v/>
      </c>
      <c r="L7">
        <f>'附件3 规划内'!L6</f>
        <v>0</v>
      </c>
      <c r="M7">
        <f>'附件3 规划内'!M6</f>
        <v>0</v>
      </c>
      <c r="N7">
        <f>'附件3 规划内'!N6</f>
        <v>0</v>
      </c>
      <c r="O7" t="str">
        <f>'附件3 规划内'!O6</f>
        <v>市住房城乡建设局</v>
      </c>
      <c r="P7" t="str">
        <f>'附件3 规划内'!P6</f>
        <v>禹王台区</v>
      </c>
      <c r="Q7">
        <f>'附件3 规划内'!Q6</f>
        <v>0</v>
      </c>
      <c r="R7">
        <f>'附件3 规划内'!R6</f>
        <v>0</v>
      </c>
      <c r="T7">
        <f>'附件4 规划外'!A224</f>
        <v>238</v>
      </c>
      <c r="U7" t="str">
        <f>'附件4 规划外'!B224</f>
        <v>禹王台区城市排水防涝数字化综合信息管理平台项目</v>
      </c>
      <c r="V7" t="str">
        <f>'附件4 规划外'!C224</f>
        <v>其他</v>
      </c>
      <c r="W7" t="str">
        <f>'附件4 规划外'!D224</f>
        <v>提升改造指挥中心，提升改造海绵城市，提升排涝除险设备。</v>
      </c>
      <c r="X7">
        <f>'附件4 规划外'!E224</f>
        <v>4000</v>
      </c>
      <c r="Y7">
        <f>'附件4 规划外'!F224</f>
        <v>0</v>
      </c>
      <c r="Z7">
        <f>'附件4 规划外'!G224</f>
        <v>2000</v>
      </c>
      <c r="AA7">
        <f>'附件4 规划外'!H224</f>
        <v>0</v>
      </c>
      <c r="AB7" t="str">
        <f>'附件4 规划外'!I224</f>
        <v>在建</v>
      </c>
      <c r="AC7">
        <f>'附件4 规划外'!J224</f>
        <v>21</v>
      </c>
      <c r="AD7">
        <f>'附件4 规划外'!K224</f>
        <v>21</v>
      </c>
      <c r="AE7" t="str">
        <f>'附件4 规划外'!L224</f>
        <v>正在办理招投标前期手续</v>
      </c>
      <c r="AF7">
        <f>'附件4 规划外'!M224</f>
        <v>44682</v>
      </c>
      <c r="AG7">
        <f>'附件4 规划外'!N224</f>
        <v>44866</v>
      </c>
      <c r="AH7" t="str">
        <f>'附件4 规划外'!O224</f>
        <v>市城管局</v>
      </c>
      <c r="AI7" t="str">
        <f>'附件4 规划外'!P224</f>
        <v>禹王台区</v>
      </c>
      <c r="AJ7">
        <f>'附件4 规划外'!Q224</f>
        <v>0</v>
      </c>
      <c r="AK7">
        <f>'附件4 规划外'!R224</f>
        <v>0</v>
      </c>
    </row>
    <row r="8" spans="1:18">
      <c r="A8">
        <f>'附件3 规划内'!A9</f>
        <v>8</v>
      </c>
      <c r="B8" t="str">
        <f>'附件3 规划内'!B9</f>
        <v>禹王台区城镇居民住房恢复重建</v>
      </c>
      <c r="C8" t="str">
        <f>'附件3 规划内'!C9</f>
        <v>城乡住房</v>
      </c>
      <c r="D8" t="str">
        <f>'附件3 规划内'!D9</f>
        <v>修缮加固115户、原址重建200户</v>
      </c>
      <c r="E8">
        <f>'附件3 规划内'!E9</f>
        <v>8.6</v>
      </c>
      <c r="F8">
        <f>'附件3 规划内'!F9</f>
        <v>8.6</v>
      </c>
      <c r="G8">
        <f>'附件3 规划内'!G9</f>
        <v>0</v>
      </c>
      <c r="H8">
        <f>'附件3 规划内'!H9</f>
        <v>0</v>
      </c>
      <c r="I8" t="str">
        <f>'附件3 规划内'!I9</f>
        <v>完工</v>
      </c>
      <c r="J8">
        <f>'附件3 规划内'!J9</f>
        <v>8.6</v>
      </c>
      <c r="K8" t="str">
        <f>'附件3 规划内'!K9</f>
        <v/>
      </c>
      <c r="L8">
        <f>'附件3 规划内'!L9</f>
        <v>0</v>
      </c>
      <c r="M8">
        <f>'附件3 规划内'!M9</f>
        <v>0</v>
      </c>
      <c r="N8">
        <f>'附件3 规划内'!N9</f>
        <v>0</v>
      </c>
      <c r="O8" t="str">
        <f>'附件3 规划内'!O9</f>
        <v>市住房城乡建设局</v>
      </c>
      <c r="P8" t="str">
        <f>'附件3 规划内'!P9</f>
        <v>禹王台区</v>
      </c>
      <c r="Q8">
        <f>'附件3 规划内'!Q9</f>
        <v>0</v>
      </c>
      <c r="R8">
        <f>'附件3 规划内'!R9</f>
        <v>0</v>
      </c>
    </row>
    <row r="9" spans="1:18">
      <c r="A9">
        <f>'附件3 规划内'!A237</f>
        <v>218</v>
      </c>
      <c r="B9" t="str">
        <f>'附件3 规划内'!B237</f>
        <v>禹王台区水毁农田新建项目</v>
      </c>
      <c r="C9" t="str">
        <f>'附件3 规划内'!C237</f>
        <v>农业</v>
      </c>
      <c r="D9" t="str">
        <f>'附件3 规划内'!D237</f>
        <v>9800亩</v>
      </c>
      <c r="E9">
        <f>'附件3 规划内'!E237</f>
        <v>1568</v>
      </c>
      <c r="F9">
        <f>'附件3 规划内'!F237</f>
        <v>0</v>
      </c>
      <c r="G9">
        <f>'附件3 规划内'!G237</f>
        <v>1568</v>
      </c>
      <c r="H9">
        <f>'附件3 规划内'!H237</f>
        <v>0</v>
      </c>
      <c r="I9" t="str">
        <f>'附件3 规划内'!I237</f>
        <v>在建</v>
      </c>
      <c r="J9">
        <f>'附件3 规划内'!J237</f>
        <v>1331</v>
      </c>
      <c r="K9">
        <f>'附件3 规划内'!K237</f>
        <v>1331</v>
      </c>
      <c r="L9">
        <f>'附件3 规划内'!L237</f>
        <v>0</v>
      </c>
      <c r="M9" s="26">
        <f>'附件3 规划内'!M237</f>
        <v>44713</v>
      </c>
      <c r="N9" s="26" t="str">
        <f>'附件3 规划内'!N237</f>
        <v>2023年12月</v>
      </c>
      <c r="O9" t="str">
        <f>'附件3 规划内'!O237</f>
        <v>市农业农村局</v>
      </c>
      <c r="P9" t="str">
        <f>'附件3 规划内'!P237</f>
        <v>禹王台区</v>
      </c>
      <c r="Q9">
        <f>'附件3 规划内'!Q237</f>
        <v>0</v>
      </c>
      <c r="R9" t="str">
        <f>'附件3 规划内'!R237</f>
        <v>2022年12月底</v>
      </c>
    </row>
    <row r="10" spans="1:18">
      <c r="A10">
        <f>'附件3 规划内'!A245</f>
        <v>226</v>
      </c>
      <c r="B10" t="str">
        <f>'附件3 规划内'!B245</f>
        <v>禹王台区应急物资储备中心</v>
      </c>
      <c r="C10" t="str">
        <f>'附件3 规划内'!C245</f>
        <v>应急</v>
      </c>
      <c r="D10" t="str">
        <f>'附件3 规划内'!D245</f>
        <v>应急指挥大厅、配套办公楼、消防配套用房、应急物资储备库建设。</v>
      </c>
      <c r="E10">
        <f>'附件3 规划内'!E245</f>
        <v>4000</v>
      </c>
      <c r="F10">
        <f>'附件3 规划内'!F245</f>
        <v>3200</v>
      </c>
      <c r="G10">
        <f>'附件3 规划内'!G245</f>
        <v>800</v>
      </c>
      <c r="H10">
        <f>'附件3 规划内'!H245</f>
        <v>0</v>
      </c>
      <c r="I10" t="str">
        <f>'附件3 规划内'!I245</f>
        <v>完工</v>
      </c>
      <c r="J10">
        <f>'附件3 规划内'!J245</f>
        <v>4000</v>
      </c>
      <c r="K10">
        <f>'附件3 规划内'!K245</f>
        <v>800</v>
      </c>
      <c r="L10">
        <f>'附件3 规划内'!L245</f>
        <v>0</v>
      </c>
      <c r="M10" s="26">
        <f>'附件3 规划内'!M245</f>
        <v>44501</v>
      </c>
      <c r="N10" s="26">
        <f>'附件3 规划内'!N245</f>
        <v>44865</v>
      </c>
      <c r="O10" t="str">
        <f>'附件3 规划内'!O245</f>
        <v>市应急局</v>
      </c>
      <c r="P10" t="str">
        <f>'附件3 规划内'!P245</f>
        <v>禹王台区</v>
      </c>
      <c r="Q10">
        <f>'附件3 规划内'!Q245</f>
        <v>0</v>
      </c>
      <c r="R10">
        <f>'附件3 规划内'!R245</f>
        <v>0</v>
      </c>
    </row>
  </sheetData>
  <sheetProtection formatCells="0" formatColumns="0" formatRows="0" sort="0" autoFilter="0"/>
  <autoFilter ref="A6:AK10">
    <extLst/>
  </autoFilter>
  <mergeCells count="5">
    <mergeCell ref="A1:G1"/>
    <mergeCell ref="H1:N1"/>
    <mergeCell ref="O1:U1"/>
    <mergeCell ref="A5:R5"/>
    <mergeCell ref="T5:AK5"/>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8" tint="0.599993896298105"/>
    <pageSetUpPr fitToPage="1"/>
  </sheetPr>
  <dimension ref="A1:AC226"/>
  <sheetViews>
    <sheetView tabSelected="1" workbookViewId="0">
      <pane ySplit="1" topLeftCell="A2" activePane="bottomLeft" state="frozen"/>
      <selection/>
      <selection pane="bottomLeft" activeCell="A215" sqref="$A215:$XFD215"/>
    </sheetView>
  </sheetViews>
  <sheetFormatPr defaultColWidth="9" defaultRowHeight="13.5"/>
  <cols>
    <col min="1" max="1" width="5.26666666666667" style="175" customWidth="1"/>
    <col min="2" max="2" width="26.6333333333333" style="175" customWidth="1"/>
    <col min="3" max="3" width="9.45" style="175" customWidth="1"/>
    <col min="4" max="4" width="17.3666666666667" style="175" customWidth="1"/>
    <col min="5" max="5" width="9.26666666666667" style="176" customWidth="1"/>
    <col min="6" max="6" width="8.45" style="176" customWidth="1"/>
    <col min="7" max="7" width="8.36666666666667" style="176" customWidth="1"/>
    <col min="8" max="8" width="9.26666666666667" style="176" customWidth="1"/>
    <col min="9" max="9" width="9" style="176"/>
    <col min="10" max="10" width="8.45" style="176" customWidth="1"/>
    <col min="11" max="11" width="9.45" style="176" customWidth="1"/>
    <col min="12" max="12" width="14.45" style="176" customWidth="1"/>
    <col min="13" max="13" width="12.2666666666667" style="176" customWidth="1"/>
    <col min="14" max="14" width="13" style="176" customWidth="1"/>
    <col min="15" max="15" width="11.9083333333333" style="175" customWidth="1"/>
    <col min="16" max="16" width="9.45" style="175" customWidth="1"/>
    <col min="17" max="17" width="10.725" style="175" customWidth="1"/>
    <col min="18" max="18" width="6.09166666666667" style="177" customWidth="1"/>
    <col min="19" max="19" width="8.90833333333333" customWidth="1"/>
    <col min="20" max="20" width="9" customWidth="1"/>
    <col min="21" max="26" width="9" style="175" customWidth="1"/>
    <col min="27" max="27" width="9" style="175"/>
    <col min="28" max="28" width="6.63333333333333" style="177" customWidth="1"/>
  </cols>
  <sheetData>
    <row r="1" s="174" customFormat="1" ht="51" spans="1:29">
      <c r="A1" s="178" t="s">
        <v>0</v>
      </c>
      <c r="B1" s="178" t="s">
        <v>1</v>
      </c>
      <c r="C1" s="178" t="s">
        <v>2</v>
      </c>
      <c r="D1" s="178" t="s">
        <v>3</v>
      </c>
      <c r="E1" s="179" t="s">
        <v>4</v>
      </c>
      <c r="F1" s="180" t="s">
        <v>576</v>
      </c>
      <c r="G1" s="180" t="s">
        <v>577</v>
      </c>
      <c r="H1" s="180" t="s">
        <v>578</v>
      </c>
      <c r="I1" s="7" t="s">
        <v>8</v>
      </c>
      <c r="J1" s="183" t="s">
        <v>9</v>
      </c>
      <c r="K1" s="179" t="s">
        <v>10</v>
      </c>
      <c r="L1" s="184" t="s">
        <v>11</v>
      </c>
      <c r="M1" s="7" t="s">
        <v>579</v>
      </c>
      <c r="N1" s="7" t="s">
        <v>580</v>
      </c>
      <c r="O1" s="178" t="s">
        <v>581</v>
      </c>
      <c r="P1" s="178" t="s">
        <v>15</v>
      </c>
      <c r="Q1" s="178" t="s">
        <v>16</v>
      </c>
      <c r="R1" s="189" t="s">
        <v>17</v>
      </c>
      <c r="S1" s="174" t="s">
        <v>18</v>
      </c>
      <c r="T1" s="174" t="s">
        <v>582</v>
      </c>
      <c r="U1" s="190" t="s">
        <v>20</v>
      </c>
      <c r="V1" s="190" t="s">
        <v>21</v>
      </c>
      <c r="W1" s="190" t="s">
        <v>22</v>
      </c>
      <c r="X1" s="190" t="s">
        <v>23</v>
      </c>
      <c r="Y1" s="190" t="s">
        <v>583</v>
      </c>
      <c r="Z1" s="190" t="s">
        <v>584</v>
      </c>
      <c r="AA1" s="190" t="s">
        <v>26</v>
      </c>
      <c r="AB1" s="194" t="s">
        <v>27</v>
      </c>
      <c r="AC1" s="174" t="s">
        <v>28</v>
      </c>
    </row>
    <row r="2" s="174" customFormat="1" ht="14.15" hidden="1" customHeight="1" spans="1:29">
      <c r="A2" s="181">
        <v>1</v>
      </c>
      <c r="B2" s="181" t="s">
        <v>585</v>
      </c>
      <c r="C2" s="181" t="s">
        <v>55</v>
      </c>
      <c r="D2" s="181" t="s">
        <v>586</v>
      </c>
      <c r="E2" s="182">
        <v>340</v>
      </c>
      <c r="F2" s="182">
        <v>340</v>
      </c>
      <c r="G2" s="182">
        <v>0</v>
      </c>
      <c r="H2" s="182">
        <v>0</v>
      </c>
      <c r="I2" s="185" t="str">
        <f t="shared" ref="I2:I26" si="0">IF(E2=0,"完工",IF(J2&gt;0,IF(J2=E2,"完工","在建"),"未开工"))</f>
        <v>完工</v>
      </c>
      <c r="J2" s="186">
        <v>340</v>
      </c>
      <c r="K2" s="32" t="str">
        <f t="shared" ref="K2:K26" si="1">IF(G2=0,"",J2-F2)</f>
        <v/>
      </c>
      <c r="L2" s="186" t="s">
        <v>587</v>
      </c>
      <c r="M2" s="187">
        <v>44440</v>
      </c>
      <c r="N2" s="188">
        <v>44896</v>
      </c>
      <c r="O2" s="181" t="s">
        <v>57</v>
      </c>
      <c r="P2" s="181" t="s">
        <v>66</v>
      </c>
      <c r="Q2" s="191"/>
      <c r="R2" s="192"/>
      <c r="S2" s="174">
        <f t="shared" ref="S2:S26" si="2">E2-F2-G2-H2</f>
        <v>0</v>
      </c>
      <c r="T2" s="193" t="str">
        <f t="shared" ref="T2:T26" si="3">IF(I2="完工","",J2-F2-K2)</f>
        <v/>
      </c>
      <c r="U2" s="175" t="str">
        <f t="shared" ref="U2:U10" si="4">IF(I2="完工"," ",0)</f>
        <v> </v>
      </c>
      <c r="V2" s="175" t="str">
        <f>IF(I2="完工","",0)</f>
        <v/>
      </c>
      <c r="W2" s="175" t="str">
        <f t="shared" ref="W2:W26" si="5">IF(I2="完工","",12-U2-V2)</f>
        <v/>
      </c>
      <c r="X2" s="175" t="str">
        <f>IF(I2="完工","",$AB$2-U2)</f>
        <v/>
      </c>
      <c r="Y2" s="195" t="str">
        <f t="shared" ref="Y2:Y26" si="6">IF(I2="完工","",ROUND(X2/W2,3))</f>
        <v/>
      </c>
      <c r="Z2" s="195" t="str">
        <f t="shared" ref="Z2:Z26" si="7">IF(I2="完工","",ROUND(K2/G2,3))</f>
        <v/>
      </c>
      <c r="AA2" s="195" t="str">
        <f t="shared" ref="AA2:AA26" si="8">IF(I2="完工","",Z2-Y2)</f>
        <v/>
      </c>
      <c r="AB2" s="194">
        <v>6.5</v>
      </c>
      <c r="AC2" s="196" t="str">
        <f t="shared" ref="AC2:AC26" si="9">IF(E2=0,"",IF(ROUND(J2/E2,3)=1,"",ROUND(J2/E2,3)))</f>
        <v/>
      </c>
    </row>
    <row r="3" s="174" customFormat="1" ht="14.15" hidden="1" customHeight="1" spans="1:29">
      <c r="A3" s="181">
        <v>2</v>
      </c>
      <c r="B3" s="181" t="s">
        <v>588</v>
      </c>
      <c r="C3" s="181" t="s">
        <v>55</v>
      </c>
      <c r="D3" s="181" t="s">
        <v>589</v>
      </c>
      <c r="E3" s="182">
        <v>60</v>
      </c>
      <c r="F3" s="182">
        <v>60</v>
      </c>
      <c r="G3" s="182">
        <v>0</v>
      </c>
      <c r="H3" s="182">
        <v>0</v>
      </c>
      <c r="I3" s="185" t="str">
        <f t="shared" si="0"/>
        <v>完工</v>
      </c>
      <c r="J3" s="186">
        <v>60</v>
      </c>
      <c r="K3" s="32" t="str">
        <f t="shared" si="1"/>
        <v/>
      </c>
      <c r="L3" s="186" t="s">
        <v>587</v>
      </c>
      <c r="M3" s="187">
        <v>44440</v>
      </c>
      <c r="N3" s="188">
        <v>44896</v>
      </c>
      <c r="O3" s="181" t="s">
        <v>57</v>
      </c>
      <c r="P3" s="181" t="s">
        <v>66</v>
      </c>
      <c r="Q3" s="191"/>
      <c r="R3" s="192"/>
      <c r="S3" s="174">
        <f t="shared" si="2"/>
        <v>0</v>
      </c>
      <c r="T3" s="193" t="str">
        <f t="shared" si="3"/>
        <v/>
      </c>
      <c r="U3" s="175" t="str">
        <f t="shared" si="4"/>
        <v> </v>
      </c>
      <c r="V3" s="175" t="str">
        <f t="shared" ref="V3:V8" si="10">IF(I3="完工","",0)</f>
        <v/>
      </c>
      <c r="W3" s="175" t="str">
        <f t="shared" si="5"/>
        <v/>
      </c>
      <c r="X3" s="175" t="str">
        <f>IF(I3="完工","",$AB$2-U3)</f>
        <v/>
      </c>
      <c r="Y3" s="195" t="str">
        <f t="shared" si="6"/>
        <v/>
      </c>
      <c r="Z3" s="195" t="str">
        <f t="shared" si="7"/>
        <v/>
      </c>
      <c r="AA3" s="195" t="str">
        <f t="shared" si="8"/>
        <v/>
      </c>
      <c r="AB3" s="194"/>
      <c r="AC3" s="196" t="str">
        <f t="shared" si="9"/>
        <v/>
      </c>
    </row>
    <row r="4" s="174" customFormat="1" ht="14.15" hidden="1" customHeight="1" spans="1:29">
      <c r="A4" s="181">
        <v>3</v>
      </c>
      <c r="B4" s="181" t="s">
        <v>590</v>
      </c>
      <c r="C4" s="181" t="s">
        <v>55</v>
      </c>
      <c r="D4" s="181" t="s">
        <v>591</v>
      </c>
      <c r="E4" s="182">
        <v>60</v>
      </c>
      <c r="F4" s="182">
        <v>60</v>
      </c>
      <c r="G4" s="182">
        <v>0</v>
      </c>
      <c r="H4" s="182">
        <v>0</v>
      </c>
      <c r="I4" s="185" t="str">
        <f t="shared" si="0"/>
        <v>完工</v>
      </c>
      <c r="J4" s="186">
        <v>60</v>
      </c>
      <c r="K4" s="32" t="str">
        <f t="shared" si="1"/>
        <v/>
      </c>
      <c r="L4" s="186" t="s">
        <v>587</v>
      </c>
      <c r="M4" s="187">
        <v>44440</v>
      </c>
      <c r="N4" s="188">
        <v>44896</v>
      </c>
      <c r="O4" s="181" t="s">
        <v>57</v>
      </c>
      <c r="P4" s="181" t="s">
        <v>66</v>
      </c>
      <c r="Q4" s="191"/>
      <c r="R4" s="192"/>
      <c r="S4" s="174">
        <f t="shared" si="2"/>
        <v>0</v>
      </c>
      <c r="T4" s="193" t="str">
        <f t="shared" si="3"/>
        <v/>
      </c>
      <c r="U4" s="175" t="str">
        <f t="shared" si="4"/>
        <v> </v>
      </c>
      <c r="V4" s="175" t="str">
        <f t="shared" si="10"/>
        <v/>
      </c>
      <c r="W4" s="175" t="str">
        <f t="shared" si="5"/>
        <v/>
      </c>
      <c r="X4" s="175" t="str">
        <f>IF(I4="完工","",$AB$2-U4)</f>
        <v/>
      </c>
      <c r="Y4" s="195" t="str">
        <f t="shared" si="6"/>
        <v/>
      </c>
      <c r="Z4" s="195" t="str">
        <f t="shared" si="7"/>
        <v/>
      </c>
      <c r="AA4" s="195" t="str">
        <f t="shared" si="8"/>
        <v/>
      </c>
      <c r="AB4" s="194"/>
      <c r="AC4" s="196" t="str">
        <f t="shared" si="9"/>
        <v/>
      </c>
    </row>
    <row r="5" s="174" customFormat="1" ht="14.15" hidden="1" customHeight="1" spans="1:29">
      <c r="A5" s="181">
        <v>4</v>
      </c>
      <c r="B5" s="181" t="s">
        <v>592</v>
      </c>
      <c r="C5" s="181" t="s">
        <v>55</v>
      </c>
      <c r="D5" s="181" t="s">
        <v>593</v>
      </c>
      <c r="E5" s="182">
        <v>500</v>
      </c>
      <c r="F5" s="182">
        <v>500</v>
      </c>
      <c r="G5" s="182">
        <v>0</v>
      </c>
      <c r="H5" s="182">
        <v>0</v>
      </c>
      <c r="I5" s="185" t="str">
        <f t="shared" si="0"/>
        <v>完工</v>
      </c>
      <c r="J5" s="186">
        <v>500</v>
      </c>
      <c r="K5" s="32" t="str">
        <f t="shared" si="1"/>
        <v/>
      </c>
      <c r="L5" s="186" t="s">
        <v>587</v>
      </c>
      <c r="M5" s="187">
        <v>44440</v>
      </c>
      <c r="N5" s="188">
        <v>44896</v>
      </c>
      <c r="O5" s="181" t="s">
        <v>57</v>
      </c>
      <c r="P5" s="181" t="s">
        <v>66</v>
      </c>
      <c r="Q5" s="191"/>
      <c r="R5" s="192"/>
      <c r="S5" s="174">
        <f t="shared" si="2"/>
        <v>0</v>
      </c>
      <c r="T5" s="193" t="str">
        <f t="shared" si="3"/>
        <v/>
      </c>
      <c r="U5" s="175" t="str">
        <f t="shared" si="4"/>
        <v> </v>
      </c>
      <c r="V5" s="175" t="str">
        <f t="shared" si="10"/>
        <v/>
      </c>
      <c r="W5" s="175" t="str">
        <f t="shared" si="5"/>
        <v/>
      </c>
      <c r="X5" s="175" t="str">
        <f>IF(I5="完工","",$AB$2-U5)</f>
        <v/>
      </c>
      <c r="Y5" s="195" t="str">
        <f t="shared" si="6"/>
        <v/>
      </c>
      <c r="Z5" s="195" t="str">
        <f t="shared" si="7"/>
        <v/>
      </c>
      <c r="AA5" s="195" t="str">
        <f t="shared" si="8"/>
        <v/>
      </c>
      <c r="AB5" s="194"/>
      <c r="AC5" s="196" t="str">
        <f t="shared" si="9"/>
        <v/>
      </c>
    </row>
    <row r="6" s="174" customFormat="1" ht="14.15" hidden="1" customHeight="1" spans="1:29">
      <c r="A6" s="181">
        <v>5</v>
      </c>
      <c r="B6" s="181" t="s">
        <v>594</v>
      </c>
      <c r="C6" s="181" t="s">
        <v>55</v>
      </c>
      <c r="D6" s="181" t="s">
        <v>595</v>
      </c>
      <c r="E6" s="182">
        <v>93</v>
      </c>
      <c r="F6" s="182">
        <v>93</v>
      </c>
      <c r="G6" s="182">
        <v>0</v>
      </c>
      <c r="H6" s="182">
        <v>0</v>
      </c>
      <c r="I6" s="185" t="str">
        <f t="shared" si="0"/>
        <v>完工</v>
      </c>
      <c r="J6" s="186">
        <v>93</v>
      </c>
      <c r="K6" s="32" t="str">
        <f t="shared" si="1"/>
        <v/>
      </c>
      <c r="L6" s="186" t="s">
        <v>587</v>
      </c>
      <c r="M6" s="187">
        <v>44409</v>
      </c>
      <c r="N6" s="188">
        <v>44896</v>
      </c>
      <c r="O6" s="181" t="s">
        <v>57</v>
      </c>
      <c r="P6" s="181" t="s">
        <v>33</v>
      </c>
      <c r="Q6" s="191"/>
      <c r="R6" s="192"/>
      <c r="S6" s="174">
        <f t="shared" si="2"/>
        <v>0</v>
      </c>
      <c r="T6" s="193" t="str">
        <f t="shared" si="3"/>
        <v/>
      </c>
      <c r="U6" s="175" t="str">
        <f t="shared" si="4"/>
        <v> </v>
      </c>
      <c r="V6" s="175" t="str">
        <f t="shared" si="10"/>
        <v/>
      </c>
      <c r="W6" s="175" t="str">
        <f t="shared" si="5"/>
        <v/>
      </c>
      <c r="X6" s="175" t="str">
        <f>IF(I6="完工","",$AB$2-U6)</f>
        <v/>
      </c>
      <c r="Y6" s="195" t="str">
        <f t="shared" si="6"/>
        <v/>
      </c>
      <c r="Z6" s="195" t="str">
        <f t="shared" si="7"/>
        <v/>
      </c>
      <c r="AA6" s="195" t="str">
        <f t="shared" si="8"/>
        <v/>
      </c>
      <c r="AB6" s="194"/>
      <c r="AC6" s="196" t="str">
        <f t="shared" si="9"/>
        <v/>
      </c>
    </row>
    <row r="7" s="174" customFormat="1" ht="14.15" hidden="1" customHeight="1" spans="1:29">
      <c r="A7" s="181">
        <v>6</v>
      </c>
      <c r="B7" s="181" t="s">
        <v>596</v>
      </c>
      <c r="C7" s="181" t="s">
        <v>55</v>
      </c>
      <c r="D7" s="181" t="s">
        <v>597</v>
      </c>
      <c r="E7" s="182">
        <v>1500</v>
      </c>
      <c r="F7" s="182">
        <v>1500</v>
      </c>
      <c r="G7" s="182">
        <v>0</v>
      </c>
      <c r="H7" s="182">
        <v>0</v>
      </c>
      <c r="I7" s="185" t="str">
        <f t="shared" si="0"/>
        <v>完工</v>
      </c>
      <c r="J7" s="186">
        <v>1500</v>
      </c>
      <c r="K7" s="32" t="str">
        <f t="shared" si="1"/>
        <v/>
      </c>
      <c r="L7" s="186" t="s">
        <v>587</v>
      </c>
      <c r="M7" s="187">
        <v>44470</v>
      </c>
      <c r="N7" s="188">
        <v>44896</v>
      </c>
      <c r="O7" s="181" t="s">
        <v>57</v>
      </c>
      <c r="P7" s="181" t="s">
        <v>66</v>
      </c>
      <c r="Q7" s="191"/>
      <c r="R7" s="192"/>
      <c r="S7" s="174">
        <f t="shared" si="2"/>
        <v>0</v>
      </c>
      <c r="T7" s="193" t="str">
        <f t="shared" si="3"/>
        <v/>
      </c>
      <c r="U7" s="175" t="str">
        <f t="shared" si="4"/>
        <v> </v>
      </c>
      <c r="V7" s="175" t="str">
        <f t="shared" si="10"/>
        <v/>
      </c>
      <c r="W7" s="175" t="str">
        <f t="shared" si="5"/>
        <v/>
      </c>
      <c r="X7" s="175" t="str">
        <f>IF(I7="完工","",$AB$2-U7)</f>
        <v/>
      </c>
      <c r="Y7" s="195" t="str">
        <f t="shared" si="6"/>
        <v/>
      </c>
      <c r="Z7" s="195" t="str">
        <f t="shared" si="7"/>
        <v/>
      </c>
      <c r="AA7" s="195" t="str">
        <f t="shared" si="8"/>
        <v/>
      </c>
      <c r="AB7" s="194"/>
      <c r="AC7" s="196" t="str">
        <f t="shared" si="9"/>
        <v/>
      </c>
    </row>
    <row r="8" s="174" customFormat="1" ht="14.15" hidden="1" customHeight="1" spans="1:29">
      <c r="A8" s="181">
        <v>7</v>
      </c>
      <c r="B8" s="181" t="s">
        <v>598</v>
      </c>
      <c r="C8" s="181" t="s">
        <v>55</v>
      </c>
      <c r="D8" s="181" t="s">
        <v>599</v>
      </c>
      <c r="E8" s="182">
        <v>448</v>
      </c>
      <c r="F8" s="182">
        <v>448</v>
      </c>
      <c r="G8" s="182">
        <v>0</v>
      </c>
      <c r="H8" s="182">
        <v>0</v>
      </c>
      <c r="I8" s="185" t="str">
        <f t="shared" si="0"/>
        <v>完工</v>
      </c>
      <c r="J8" s="186">
        <v>448</v>
      </c>
      <c r="K8" s="32" t="str">
        <f t="shared" si="1"/>
        <v/>
      </c>
      <c r="L8" s="186" t="s">
        <v>587</v>
      </c>
      <c r="M8" s="187">
        <v>44470</v>
      </c>
      <c r="N8" s="188">
        <v>44896</v>
      </c>
      <c r="O8" s="181" t="s">
        <v>57</v>
      </c>
      <c r="P8" s="181" t="s">
        <v>66</v>
      </c>
      <c r="Q8" s="191"/>
      <c r="R8" s="192"/>
      <c r="S8" s="174">
        <f t="shared" si="2"/>
        <v>0</v>
      </c>
      <c r="T8" s="193" t="str">
        <f t="shared" si="3"/>
        <v/>
      </c>
      <c r="U8" s="175" t="str">
        <f t="shared" si="4"/>
        <v> </v>
      </c>
      <c r="V8" s="175" t="str">
        <f t="shared" si="10"/>
        <v/>
      </c>
      <c r="W8" s="175" t="str">
        <f t="shared" si="5"/>
        <v/>
      </c>
      <c r="X8" s="175" t="str">
        <f>IF(I8="完工","",$AB$2-U8)</f>
        <v/>
      </c>
      <c r="Y8" s="195" t="str">
        <f t="shared" si="6"/>
        <v/>
      </c>
      <c r="Z8" s="195" t="str">
        <f t="shared" si="7"/>
        <v/>
      </c>
      <c r="AA8" s="195" t="str">
        <f t="shared" si="8"/>
        <v/>
      </c>
      <c r="AB8" s="194"/>
      <c r="AC8" s="196" t="str">
        <f t="shared" si="9"/>
        <v/>
      </c>
    </row>
    <row r="9" s="174" customFormat="1" ht="14.15" hidden="1" customHeight="1" spans="1:29">
      <c r="A9" s="181">
        <v>8</v>
      </c>
      <c r="B9" s="181" t="s">
        <v>600</v>
      </c>
      <c r="C9" s="181" t="s">
        <v>55</v>
      </c>
      <c r="D9" s="181" t="s">
        <v>601</v>
      </c>
      <c r="E9" s="182">
        <v>16105.87</v>
      </c>
      <c r="F9" s="182">
        <v>8492</v>
      </c>
      <c r="G9" s="182">
        <v>7613.87</v>
      </c>
      <c r="H9" s="182">
        <v>0</v>
      </c>
      <c r="I9" s="185" t="str">
        <f t="shared" si="0"/>
        <v>在建</v>
      </c>
      <c r="J9" s="186">
        <v>13492</v>
      </c>
      <c r="K9" s="32">
        <f t="shared" si="1"/>
        <v>5000</v>
      </c>
      <c r="L9" s="186" t="s">
        <v>394</v>
      </c>
      <c r="M9" s="187">
        <v>44501</v>
      </c>
      <c r="N9" s="188">
        <v>45017</v>
      </c>
      <c r="O9" s="181" t="s">
        <v>57</v>
      </c>
      <c r="P9" s="181" t="s">
        <v>66</v>
      </c>
      <c r="Q9" s="191"/>
      <c r="R9" s="192" t="s">
        <v>602</v>
      </c>
      <c r="S9" s="174">
        <f t="shared" si="2"/>
        <v>0</v>
      </c>
      <c r="T9" s="193">
        <f t="shared" si="3"/>
        <v>0</v>
      </c>
      <c r="U9" s="175">
        <f t="shared" si="4"/>
        <v>0</v>
      </c>
      <c r="V9" s="175">
        <f>IF(I9="完工"," ",0)</f>
        <v>0</v>
      </c>
      <c r="W9" s="175">
        <f t="shared" si="5"/>
        <v>12</v>
      </c>
      <c r="X9" s="175">
        <f>IF(I9="完工","",$AB$2-U9)</f>
        <v>6.5</v>
      </c>
      <c r="Y9" s="195">
        <f t="shared" si="6"/>
        <v>0.542</v>
      </c>
      <c r="Z9" s="195">
        <f t="shared" si="7"/>
        <v>0.657</v>
      </c>
      <c r="AA9" s="195">
        <f t="shared" si="8"/>
        <v>0.115</v>
      </c>
      <c r="AB9" s="194"/>
      <c r="AC9" s="196">
        <f t="shared" si="9"/>
        <v>0.838</v>
      </c>
    </row>
    <row r="10" s="174" customFormat="1" ht="14.15" hidden="1" customHeight="1" spans="1:29">
      <c r="A10" s="181">
        <v>9</v>
      </c>
      <c r="B10" s="181" t="s">
        <v>603</v>
      </c>
      <c r="C10" s="181" t="s">
        <v>55</v>
      </c>
      <c r="D10" s="181" t="s">
        <v>604</v>
      </c>
      <c r="E10" s="182">
        <v>428</v>
      </c>
      <c r="F10" s="182">
        <v>0</v>
      </c>
      <c r="G10" s="182">
        <v>428</v>
      </c>
      <c r="H10" s="182">
        <v>0</v>
      </c>
      <c r="I10" s="185" t="str">
        <f t="shared" si="0"/>
        <v>完工</v>
      </c>
      <c r="J10" s="186">
        <v>428</v>
      </c>
      <c r="K10" s="32">
        <f t="shared" si="1"/>
        <v>428</v>
      </c>
      <c r="L10" s="186" t="s">
        <v>587</v>
      </c>
      <c r="M10" s="187">
        <v>44531</v>
      </c>
      <c r="N10" s="188">
        <v>44593</v>
      </c>
      <c r="O10" s="181" t="s">
        <v>57</v>
      </c>
      <c r="P10" s="181" t="s">
        <v>36</v>
      </c>
      <c r="Q10" s="191"/>
      <c r="R10" s="192"/>
      <c r="S10" s="174">
        <f t="shared" si="2"/>
        <v>0</v>
      </c>
      <c r="T10" s="193" t="str">
        <f t="shared" si="3"/>
        <v/>
      </c>
      <c r="U10" s="175" t="str">
        <f t="shared" si="4"/>
        <v> </v>
      </c>
      <c r="V10" s="175" t="str">
        <f>IF(I10="完工"," ",10)</f>
        <v> </v>
      </c>
      <c r="W10" s="175" t="str">
        <f t="shared" si="5"/>
        <v/>
      </c>
      <c r="X10" s="175" t="str">
        <f>IF(I10="完工","",$AB$2-U10)</f>
        <v/>
      </c>
      <c r="Y10" s="195" t="str">
        <f t="shared" si="6"/>
        <v/>
      </c>
      <c r="Z10" s="195" t="str">
        <f t="shared" si="7"/>
        <v/>
      </c>
      <c r="AA10" s="195" t="str">
        <f t="shared" si="8"/>
        <v/>
      </c>
      <c r="AB10" s="194"/>
      <c r="AC10" s="196" t="str">
        <f t="shared" si="9"/>
        <v/>
      </c>
    </row>
    <row r="11" s="174" customFormat="1" ht="14.15" hidden="1" customHeight="1" spans="1:29">
      <c r="A11" s="181">
        <v>10</v>
      </c>
      <c r="B11" s="181" t="s">
        <v>605</v>
      </c>
      <c r="C11" s="181" t="s">
        <v>55</v>
      </c>
      <c r="D11" s="181" t="s">
        <v>606</v>
      </c>
      <c r="E11" s="182">
        <v>2300</v>
      </c>
      <c r="F11" s="182">
        <v>0</v>
      </c>
      <c r="G11" s="182">
        <v>2300</v>
      </c>
      <c r="H11" s="182">
        <v>0</v>
      </c>
      <c r="I11" s="185" t="str">
        <f t="shared" si="0"/>
        <v>在建</v>
      </c>
      <c r="J11" s="186">
        <v>1721</v>
      </c>
      <c r="K11" s="32">
        <f t="shared" si="1"/>
        <v>1721</v>
      </c>
      <c r="L11" s="186" t="s">
        <v>394</v>
      </c>
      <c r="M11" s="187">
        <v>44652</v>
      </c>
      <c r="N11" s="188">
        <v>45047</v>
      </c>
      <c r="O11" s="181" t="s">
        <v>57</v>
      </c>
      <c r="P11" s="181" t="s">
        <v>36</v>
      </c>
      <c r="Q11" s="191"/>
      <c r="R11" s="192"/>
      <c r="S11" s="174">
        <f t="shared" si="2"/>
        <v>0</v>
      </c>
      <c r="T11" s="193">
        <f t="shared" si="3"/>
        <v>0</v>
      </c>
      <c r="U11" s="175">
        <f>IF(I11="完工"," ",2.7)</f>
        <v>2.7</v>
      </c>
      <c r="V11" s="175">
        <f>IF(I11="完工"," ",0)</f>
        <v>0</v>
      </c>
      <c r="W11" s="175">
        <f t="shared" si="5"/>
        <v>9.3</v>
      </c>
      <c r="X11" s="175">
        <f>IF(I11="完工","",$AB$2-U11)</f>
        <v>3.8</v>
      </c>
      <c r="Y11" s="195">
        <f t="shared" si="6"/>
        <v>0.409</v>
      </c>
      <c r="Z11" s="195">
        <f t="shared" si="7"/>
        <v>0.748</v>
      </c>
      <c r="AA11" s="195">
        <f t="shared" si="8"/>
        <v>0.339</v>
      </c>
      <c r="AB11" s="194"/>
      <c r="AC11" s="196">
        <f t="shared" si="9"/>
        <v>0.748</v>
      </c>
    </row>
    <row r="12" s="174" customFormat="1" ht="14.15" hidden="1" customHeight="1" spans="1:29">
      <c r="A12" s="181">
        <v>11</v>
      </c>
      <c r="B12" s="181" t="s">
        <v>607</v>
      </c>
      <c r="C12" s="181" t="s">
        <v>55</v>
      </c>
      <c r="D12" s="181" t="s">
        <v>608</v>
      </c>
      <c r="E12" s="182">
        <v>1850</v>
      </c>
      <c r="F12" s="182">
        <v>0</v>
      </c>
      <c r="G12" s="182">
        <v>1850</v>
      </c>
      <c r="H12" s="182">
        <v>0</v>
      </c>
      <c r="I12" s="185" t="str">
        <f t="shared" si="0"/>
        <v>在建</v>
      </c>
      <c r="J12" s="186">
        <v>1495</v>
      </c>
      <c r="K12" s="32">
        <f t="shared" si="1"/>
        <v>1495</v>
      </c>
      <c r="L12" s="186" t="s">
        <v>394</v>
      </c>
      <c r="M12" s="187">
        <v>44652</v>
      </c>
      <c r="N12" s="188">
        <v>45047</v>
      </c>
      <c r="O12" s="181" t="s">
        <v>57</v>
      </c>
      <c r="P12" s="181" t="s">
        <v>36</v>
      </c>
      <c r="Q12" s="191"/>
      <c r="R12" s="192"/>
      <c r="S12" s="174">
        <f t="shared" si="2"/>
        <v>0</v>
      </c>
      <c r="T12" s="193">
        <f t="shared" si="3"/>
        <v>0</v>
      </c>
      <c r="U12" s="175">
        <f>IF(I12="完工"," ",2.7)</f>
        <v>2.7</v>
      </c>
      <c r="V12" s="175">
        <f t="shared" ref="V12" si="11">IF(I12="完工"," ",0)</f>
        <v>0</v>
      </c>
      <c r="W12" s="175">
        <f t="shared" si="5"/>
        <v>9.3</v>
      </c>
      <c r="X12" s="175">
        <f>IF(I12="完工","",$AB$2-U12)</f>
        <v>3.8</v>
      </c>
      <c r="Y12" s="195">
        <f t="shared" si="6"/>
        <v>0.409</v>
      </c>
      <c r="Z12" s="195">
        <f t="shared" si="7"/>
        <v>0.808</v>
      </c>
      <c r="AA12" s="195">
        <f t="shared" si="8"/>
        <v>0.399</v>
      </c>
      <c r="AB12" s="194"/>
      <c r="AC12" s="196">
        <f t="shared" si="9"/>
        <v>0.808</v>
      </c>
    </row>
    <row r="13" s="174" customFormat="1" ht="14.15" hidden="1" customHeight="1" spans="1:29">
      <c r="A13" s="181">
        <v>12</v>
      </c>
      <c r="B13" s="181" t="s">
        <v>609</v>
      </c>
      <c r="C13" s="181" t="s">
        <v>55</v>
      </c>
      <c r="D13" s="181" t="s">
        <v>610</v>
      </c>
      <c r="E13" s="182">
        <v>1432</v>
      </c>
      <c r="F13" s="182">
        <v>0</v>
      </c>
      <c r="G13" s="182">
        <v>1432</v>
      </c>
      <c r="H13" s="182">
        <v>0</v>
      </c>
      <c r="I13" s="185" t="str">
        <f t="shared" si="0"/>
        <v>完工</v>
      </c>
      <c r="J13" s="186">
        <v>1432</v>
      </c>
      <c r="K13" s="32">
        <f t="shared" si="1"/>
        <v>1432</v>
      </c>
      <c r="L13" s="186" t="s">
        <v>587</v>
      </c>
      <c r="M13" s="187">
        <v>44501</v>
      </c>
      <c r="N13" s="188">
        <v>44682</v>
      </c>
      <c r="O13" s="181" t="s">
        <v>57</v>
      </c>
      <c r="P13" s="181" t="s">
        <v>42</v>
      </c>
      <c r="Q13" s="191"/>
      <c r="R13" s="192"/>
      <c r="S13" s="174">
        <f t="shared" si="2"/>
        <v>0</v>
      </c>
      <c r="T13" s="193" t="str">
        <f t="shared" si="3"/>
        <v/>
      </c>
      <c r="U13" s="175" t="str">
        <f t="shared" ref="U13:U23" si="12">IF(I13="完工"," ",0)</f>
        <v> </v>
      </c>
      <c r="V13" s="175" t="str">
        <f>IF(I13="完工"," ",7)</f>
        <v> </v>
      </c>
      <c r="W13" s="175" t="str">
        <f t="shared" si="5"/>
        <v/>
      </c>
      <c r="X13" s="175" t="str">
        <f>IF(I13="完工","",$AB$2-U13)</f>
        <v/>
      </c>
      <c r="Y13" s="195" t="str">
        <f t="shared" si="6"/>
        <v/>
      </c>
      <c r="Z13" s="195" t="str">
        <f t="shared" si="7"/>
        <v/>
      </c>
      <c r="AA13" s="195" t="str">
        <f t="shared" si="8"/>
        <v/>
      </c>
      <c r="AB13" s="194"/>
      <c r="AC13" s="196" t="str">
        <f t="shared" si="9"/>
        <v/>
      </c>
    </row>
    <row r="14" s="174" customFormat="1" ht="14.15" hidden="1" customHeight="1" spans="1:29">
      <c r="A14" s="181">
        <v>14</v>
      </c>
      <c r="B14" s="181" t="s">
        <v>611</v>
      </c>
      <c r="C14" s="181" t="s">
        <v>55</v>
      </c>
      <c r="D14" s="181" t="s">
        <v>612</v>
      </c>
      <c r="E14" s="182">
        <v>53200</v>
      </c>
      <c r="F14" s="182">
        <v>0</v>
      </c>
      <c r="G14" s="182">
        <v>53200</v>
      </c>
      <c r="H14" s="182">
        <v>0</v>
      </c>
      <c r="I14" s="185" t="str">
        <f t="shared" si="0"/>
        <v>在建</v>
      </c>
      <c r="J14" s="186">
        <v>52700</v>
      </c>
      <c r="K14" s="32">
        <f t="shared" si="1"/>
        <v>52700</v>
      </c>
      <c r="L14" s="186" t="s">
        <v>394</v>
      </c>
      <c r="M14" s="187">
        <v>44409</v>
      </c>
      <c r="N14" s="188">
        <v>44896</v>
      </c>
      <c r="O14" s="181" t="s">
        <v>57</v>
      </c>
      <c r="P14" s="181" t="s">
        <v>42</v>
      </c>
      <c r="Q14" s="191"/>
      <c r="R14" s="192"/>
      <c r="S14" s="174">
        <f t="shared" si="2"/>
        <v>0</v>
      </c>
      <c r="T14" s="193">
        <f t="shared" si="3"/>
        <v>0</v>
      </c>
      <c r="U14" s="175">
        <f t="shared" si="12"/>
        <v>0</v>
      </c>
      <c r="V14" s="175">
        <f>IF(I14="完工","",0)</f>
        <v>0</v>
      </c>
      <c r="W14" s="175">
        <f t="shared" si="5"/>
        <v>12</v>
      </c>
      <c r="X14" s="175">
        <f>IF(I14="完工","",$AB$2-U14)</f>
        <v>6.5</v>
      </c>
      <c r="Y14" s="195">
        <f t="shared" si="6"/>
        <v>0.542</v>
      </c>
      <c r="Z14" s="195">
        <f t="shared" si="7"/>
        <v>0.991</v>
      </c>
      <c r="AA14" s="195">
        <f t="shared" si="8"/>
        <v>0.449</v>
      </c>
      <c r="AB14" s="194"/>
      <c r="AC14" s="196">
        <f t="shared" si="9"/>
        <v>0.991</v>
      </c>
    </row>
    <row r="15" s="174" customFormat="1" ht="14.15" hidden="1" customHeight="1" spans="1:29">
      <c r="A15" s="181">
        <v>15</v>
      </c>
      <c r="B15" s="181" t="s">
        <v>613</v>
      </c>
      <c r="C15" s="181" t="s">
        <v>55</v>
      </c>
      <c r="D15" s="181" t="s">
        <v>614</v>
      </c>
      <c r="E15" s="182">
        <v>13846.2</v>
      </c>
      <c r="F15" s="182">
        <v>0</v>
      </c>
      <c r="G15" s="182">
        <v>13846.2</v>
      </c>
      <c r="H15" s="182">
        <v>0</v>
      </c>
      <c r="I15" s="185" t="str">
        <f t="shared" si="0"/>
        <v>在建</v>
      </c>
      <c r="J15" s="186">
        <v>12600</v>
      </c>
      <c r="K15" s="32">
        <f t="shared" si="1"/>
        <v>12600</v>
      </c>
      <c r="L15" s="186" t="s">
        <v>394</v>
      </c>
      <c r="M15" s="187">
        <v>44470</v>
      </c>
      <c r="N15" s="188">
        <v>44743</v>
      </c>
      <c r="O15" s="181" t="s">
        <v>57</v>
      </c>
      <c r="P15" s="181" t="s">
        <v>42</v>
      </c>
      <c r="Q15" s="191"/>
      <c r="R15" s="192"/>
      <c r="S15" s="174">
        <f t="shared" si="2"/>
        <v>0</v>
      </c>
      <c r="T15" s="193">
        <f t="shared" si="3"/>
        <v>0</v>
      </c>
      <c r="U15" s="175">
        <f t="shared" si="12"/>
        <v>0</v>
      </c>
      <c r="V15" s="175">
        <f>IF(I15="完工"," ",5)</f>
        <v>5</v>
      </c>
      <c r="W15" s="175">
        <f t="shared" si="5"/>
        <v>7</v>
      </c>
      <c r="X15" s="175">
        <f>IF(I15="完工","",$AB$2-U15)</f>
        <v>6.5</v>
      </c>
      <c r="Y15" s="195">
        <f t="shared" si="6"/>
        <v>0.929</v>
      </c>
      <c r="Z15" s="195">
        <f t="shared" si="7"/>
        <v>0.91</v>
      </c>
      <c r="AA15" s="195">
        <f t="shared" si="8"/>
        <v>-0.019</v>
      </c>
      <c r="AB15" s="194"/>
      <c r="AC15" s="196">
        <f t="shared" si="9"/>
        <v>0.91</v>
      </c>
    </row>
    <row r="16" s="174" customFormat="1" ht="14.15" hidden="1" customHeight="1" spans="1:29">
      <c r="A16" s="181">
        <v>16</v>
      </c>
      <c r="B16" s="181" t="s">
        <v>615</v>
      </c>
      <c r="C16" s="181" t="s">
        <v>55</v>
      </c>
      <c r="D16" s="181" t="s">
        <v>616</v>
      </c>
      <c r="E16" s="182">
        <v>9800</v>
      </c>
      <c r="F16" s="182">
        <v>0</v>
      </c>
      <c r="G16" s="182">
        <v>9800</v>
      </c>
      <c r="H16" s="182">
        <v>0</v>
      </c>
      <c r="I16" s="185" t="str">
        <f t="shared" si="0"/>
        <v>完工</v>
      </c>
      <c r="J16" s="186">
        <v>9800</v>
      </c>
      <c r="K16" s="32">
        <f t="shared" si="1"/>
        <v>9800</v>
      </c>
      <c r="L16" s="186" t="s">
        <v>587</v>
      </c>
      <c r="M16" s="187">
        <v>44531</v>
      </c>
      <c r="N16" s="188">
        <v>44772</v>
      </c>
      <c r="O16" s="181" t="s">
        <v>57</v>
      </c>
      <c r="P16" s="181" t="s">
        <v>132</v>
      </c>
      <c r="Q16" s="191"/>
      <c r="R16" s="192" t="s">
        <v>617</v>
      </c>
      <c r="S16" s="174">
        <f t="shared" si="2"/>
        <v>0</v>
      </c>
      <c r="T16" s="193" t="str">
        <f t="shared" si="3"/>
        <v/>
      </c>
      <c r="U16" s="175" t="str">
        <f t="shared" si="12"/>
        <v> </v>
      </c>
      <c r="V16" s="175" t="str">
        <f>IF(I16="完工"," ",5)</f>
        <v> </v>
      </c>
      <c r="W16" s="175" t="str">
        <f t="shared" si="5"/>
        <v/>
      </c>
      <c r="X16" s="175" t="str">
        <f>IF(I16="完工","",$AB$2-U16)</f>
        <v/>
      </c>
      <c r="Y16" s="195" t="str">
        <f t="shared" si="6"/>
        <v/>
      </c>
      <c r="Z16" s="195" t="str">
        <f t="shared" si="7"/>
        <v/>
      </c>
      <c r="AA16" s="195" t="str">
        <f t="shared" si="8"/>
        <v/>
      </c>
      <c r="AB16" s="194"/>
      <c r="AC16" s="196" t="str">
        <f t="shared" si="9"/>
        <v/>
      </c>
    </row>
    <row r="17" s="174" customFormat="1" ht="14.15" hidden="1" customHeight="1" spans="1:29">
      <c r="A17" s="181">
        <v>17</v>
      </c>
      <c r="B17" s="181" t="s">
        <v>618</v>
      </c>
      <c r="C17" s="181" t="s">
        <v>55</v>
      </c>
      <c r="D17" s="181" t="s">
        <v>619</v>
      </c>
      <c r="E17" s="182">
        <v>6700</v>
      </c>
      <c r="F17" s="182">
        <v>0</v>
      </c>
      <c r="G17" s="182">
        <v>6700</v>
      </c>
      <c r="H17" s="182">
        <v>0</v>
      </c>
      <c r="I17" s="185" t="str">
        <f t="shared" si="0"/>
        <v>完工</v>
      </c>
      <c r="J17" s="186">
        <v>6700</v>
      </c>
      <c r="K17" s="32">
        <f t="shared" si="1"/>
        <v>6700</v>
      </c>
      <c r="L17" s="186" t="s">
        <v>587</v>
      </c>
      <c r="M17" s="187">
        <v>44531</v>
      </c>
      <c r="N17" s="188">
        <v>44772</v>
      </c>
      <c r="O17" s="181" t="s">
        <v>57</v>
      </c>
      <c r="P17" s="181" t="s">
        <v>132</v>
      </c>
      <c r="Q17" s="191"/>
      <c r="R17" s="192" t="s">
        <v>617</v>
      </c>
      <c r="S17" s="174">
        <f t="shared" si="2"/>
        <v>0</v>
      </c>
      <c r="T17" s="193" t="str">
        <f t="shared" si="3"/>
        <v/>
      </c>
      <c r="U17" s="175" t="str">
        <f t="shared" si="12"/>
        <v> </v>
      </c>
      <c r="V17" s="175" t="str">
        <f>IF(I17="完工"," ",5)</f>
        <v> </v>
      </c>
      <c r="W17" s="175" t="str">
        <f t="shared" si="5"/>
        <v/>
      </c>
      <c r="X17" s="175" t="str">
        <f>IF(I17="完工","",$AB$2-U17)</f>
        <v/>
      </c>
      <c r="Y17" s="195" t="str">
        <f t="shared" si="6"/>
        <v/>
      </c>
      <c r="Z17" s="195" t="str">
        <f t="shared" si="7"/>
        <v/>
      </c>
      <c r="AA17" s="195" t="str">
        <f t="shared" si="8"/>
        <v/>
      </c>
      <c r="AB17" s="194"/>
      <c r="AC17" s="196" t="str">
        <f t="shared" si="9"/>
        <v/>
      </c>
    </row>
    <row r="18" s="174" customFormat="1" ht="14.15" hidden="1" customHeight="1" spans="1:29">
      <c r="A18" s="181">
        <v>18</v>
      </c>
      <c r="B18" s="181" t="s">
        <v>620</v>
      </c>
      <c r="C18" s="181" t="s">
        <v>129</v>
      </c>
      <c r="D18" s="181" t="s">
        <v>621</v>
      </c>
      <c r="E18" s="182">
        <v>3779</v>
      </c>
      <c r="F18" s="182">
        <v>3023</v>
      </c>
      <c r="G18" s="182">
        <v>756</v>
      </c>
      <c r="H18" s="182">
        <v>0</v>
      </c>
      <c r="I18" s="185" t="str">
        <f t="shared" si="0"/>
        <v>完工</v>
      </c>
      <c r="J18" s="186">
        <v>3779</v>
      </c>
      <c r="K18" s="32">
        <f t="shared" si="1"/>
        <v>756</v>
      </c>
      <c r="L18" s="186" t="s">
        <v>622</v>
      </c>
      <c r="M18" s="187">
        <v>44470</v>
      </c>
      <c r="N18" s="188">
        <v>44896</v>
      </c>
      <c r="O18" s="181" t="s">
        <v>131</v>
      </c>
      <c r="P18" s="181" t="s">
        <v>66</v>
      </c>
      <c r="Q18" s="191"/>
      <c r="R18" s="192"/>
      <c r="S18" s="174">
        <f t="shared" si="2"/>
        <v>0</v>
      </c>
      <c r="T18" s="193" t="str">
        <f t="shared" si="3"/>
        <v/>
      </c>
      <c r="U18" s="175" t="str">
        <f t="shared" si="12"/>
        <v> </v>
      </c>
      <c r="V18" s="175" t="str">
        <f>IF(I18="完工","",0)</f>
        <v/>
      </c>
      <c r="W18" s="175" t="str">
        <f t="shared" si="5"/>
        <v/>
      </c>
      <c r="X18" s="175" t="str">
        <f>IF(I18="完工","",$AB$2-U18)</f>
        <v/>
      </c>
      <c r="Y18" s="195" t="str">
        <f t="shared" si="6"/>
        <v/>
      </c>
      <c r="Z18" s="195" t="str">
        <f t="shared" si="7"/>
        <v/>
      </c>
      <c r="AA18" s="195" t="str">
        <f t="shared" si="8"/>
        <v/>
      </c>
      <c r="AB18" s="194"/>
      <c r="AC18" s="196" t="str">
        <f t="shared" si="9"/>
        <v/>
      </c>
    </row>
    <row r="19" s="174" customFormat="1" ht="14.15" hidden="1" customHeight="1" spans="1:29">
      <c r="A19" s="181">
        <v>19</v>
      </c>
      <c r="B19" s="181" t="s">
        <v>623</v>
      </c>
      <c r="C19" s="181" t="s">
        <v>129</v>
      </c>
      <c r="D19" s="181" t="s">
        <v>624</v>
      </c>
      <c r="E19" s="182">
        <v>109</v>
      </c>
      <c r="F19" s="182">
        <v>109</v>
      </c>
      <c r="G19" s="182">
        <v>0</v>
      </c>
      <c r="H19" s="182">
        <v>0</v>
      </c>
      <c r="I19" s="185" t="str">
        <f t="shared" si="0"/>
        <v>完工</v>
      </c>
      <c r="J19" s="186">
        <v>109</v>
      </c>
      <c r="K19" s="32" t="str">
        <f t="shared" si="1"/>
        <v/>
      </c>
      <c r="L19" s="186" t="s">
        <v>625</v>
      </c>
      <c r="M19" s="187">
        <v>44409</v>
      </c>
      <c r="N19" s="188">
        <v>44470</v>
      </c>
      <c r="O19" s="181" t="s">
        <v>131</v>
      </c>
      <c r="P19" s="181" t="s">
        <v>66</v>
      </c>
      <c r="Q19" s="191"/>
      <c r="R19" s="192"/>
      <c r="S19" s="174">
        <f t="shared" si="2"/>
        <v>0</v>
      </c>
      <c r="T19" s="193" t="str">
        <f t="shared" si="3"/>
        <v/>
      </c>
      <c r="U19" s="175" t="str">
        <f t="shared" si="12"/>
        <v> </v>
      </c>
      <c r="V19" s="175" t="str">
        <f>IF(I19="完工"," ",12)</f>
        <v> </v>
      </c>
      <c r="W19" s="175" t="str">
        <f t="shared" si="5"/>
        <v/>
      </c>
      <c r="X19" s="175" t="str">
        <f>IF(I19="完工","",$AB$2-U19)</f>
        <v/>
      </c>
      <c r="Y19" s="195" t="str">
        <f t="shared" si="6"/>
        <v/>
      </c>
      <c r="Z19" s="195" t="str">
        <f t="shared" si="7"/>
        <v/>
      </c>
      <c r="AA19" s="195" t="str">
        <f t="shared" si="8"/>
        <v/>
      </c>
      <c r="AB19" s="194"/>
      <c r="AC19" s="196" t="str">
        <f t="shared" si="9"/>
        <v/>
      </c>
    </row>
    <row r="20" s="174" customFormat="1" ht="14.15" hidden="1" customHeight="1" spans="1:29">
      <c r="A20" s="181">
        <v>20</v>
      </c>
      <c r="B20" s="181" t="s">
        <v>626</v>
      </c>
      <c r="C20" s="181" t="s">
        <v>129</v>
      </c>
      <c r="D20" s="181" t="s">
        <v>627</v>
      </c>
      <c r="E20" s="182">
        <v>825</v>
      </c>
      <c r="F20" s="182">
        <v>825</v>
      </c>
      <c r="G20" s="182">
        <v>0</v>
      </c>
      <c r="H20" s="182">
        <v>0</v>
      </c>
      <c r="I20" s="185" t="str">
        <f t="shared" si="0"/>
        <v>完工</v>
      </c>
      <c r="J20" s="186">
        <v>825</v>
      </c>
      <c r="K20" s="32" t="str">
        <f t="shared" si="1"/>
        <v/>
      </c>
      <c r="L20" s="186" t="s">
        <v>625</v>
      </c>
      <c r="M20" s="187">
        <v>44409</v>
      </c>
      <c r="N20" s="188">
        <v>44471</v>
      </c>
      <c r="O20" s="181" t="s">
        <v>131</v>
      </c>
      <c r="P20" s="181" t="s">
        <v>66</v>
      </c>
      <c r="Q20" s="191"/>
      <c r="R20" s="192"/>
      <c r="S20" s="174">
        <f t="shared" si="2"/>
        <v>0</v>
      </c>
      <c r="T20" s="193" t="str">
        <f t="shared" si="3"/>
        <v/>
      </c>
      <c r="U20" s="175" t="str">
        <f t="shared" si="12"/>
        <v> </v>
      </c>
      <c r="V20" s="175" t="str">
        <f t="shared" ref="V20:V23" si="13">IF(I20="完工"," ",12)</f>
        <v> </v>
      </c>
      <c r="W20" s="175" t="str">
        <f t="shared" si="5"/>
        <v/>
      </c>
      <c r="X20" s="175" t="str">
        <f>IF(I20="完工","",$AB$2-U20)</f>
        <v/>
      </c>
      <c r="Y20" s="195" t="str">
        <f t="shared" si="6"/>
        <v/>
      </c>
      <c r="Z20" s="195" t="str">
        <f t="shared" si="7"/>
        <v/>
      </c>
      <c r="AA20" s="195" t="str">
        <f t="shared" si="8"/>
        <v/>
      </c>
      <c r="AB20" s="194"/>
      <c r="AC20" s="196" t="str">
        <f t="shared" si="9"/>
        <v/>
      </c>
    </row>
    <row r="21" s="174" customFormat="1" ht="14.15" hidden="1" customHeight="1" spans="1:29">
      <c r="A21" s="181">
        <v>21</v>
      </c>
      <c r="B21" s="181" t="s">
        <v>628</v>
      </c>
      <c r="C21" s="181" t="s">
        <v>129</v>
      </c>
      <c r="D21" s="181" t="s">
        <v>629</v>
      </c>
      <c r="E21" s="182">
        <v>536</v>
      </c>
      <c r="F21" s="182">
        <v>536</v>
      </c>
      <c r="G21" s="182">
        <v>0</v>
      </c>
      <c r="H21" s="182">
        <v>0</v>
      </c>
      <c r="I21" s="185" t="str">
        <f t="shared" si="0"/>
        <v>完工</v>
      </c>
      <c r="J21" s="186">
        <v>536</v>
      </c>
      <c r="K21" s="32" t="str">
        <f t="shared" si="1"/>
        <v/>
      </c>
      <c r="L21" s="186" t="s">
        <v>625</v>
      </c>
      <c r="M21" s="187">
        <v>44409</v>
      </c>
      <c r="N21" s="188">
        <v>44472</v>
      </c>
      <c r="O21" s="181" t="s">
        <v>131</v>
      </c>
      <c r="P21" s="181" t="s">
        <v>66</v>
      </c>
      <c r="Q21" s="191"/>
      <c r="R21" s="192"/>
      <c r="S21" s="174">
        <f t="shared" si="2"/>
        <v>0</v>
      </c>
      <c r="T21" s="193" t="str">
        <f t="shared" si="3"/>
        <v/>
      </c>
      <c r="U21" s="175" t="str">
        <f t="shared" si="12"/>
        <v> </v>
      </c>
      <c r="V21" s="175" t="str">
        <f t="shared" si="13"/>
        <v> </v>
      </c>
      <c r="W21" s="175" t="str">
        <f t="shared" si="5"/>
        <v/>
      </c>
      <c r="X21" s="175" t="str">
        <f>IF(I21="完工","",$AB$2-U21)</f>
        <v/>
      </c>
      <c r="Y21" s="195" t="str">
        <f t="shared" si="6"/>
        <v/>
      </c>
      <c r="Z21" s="195" t="str">
        <f t="shared" si="7"/>
        <v/>
      </c>
      <c r="AA21" s="195" t="str">
        <f t="shared" si="8"/>
        <v/>
      </c>
      <c r="AB21" s="194"/>
      <c r="AC21" s="196" t="str">
        <f t="shared" si="9"/>
        <v/>
      </c>
    </row>
    <row r="22" s="174" customFormat="1" ht="14.15" hidden="1" customHeight="1" spans="1:29">
      <c r="A22" s="181">
        <v>22</v>
      </c>
      <c r="B22" s="181" t="s">
        <v>630</v>
      </c>
      <c r="C22" s="181" t="s">
        <v>129</v>
      </c>
      <c r="D22" s="181" t="s">
        <v>631</v>
      </c>
      <c r="E22" s="182">
        <v>754</v>
      </c>
      <c r="F22" s="182">
        <v>754</v>
      </c>
      <c r="G22" s="182">
        <v>0</v>
      </c>
      <c r="H22" s="182">
        <v>0</v>
      </c>
      <c r="I22" s="185" t="str">
        <f t="shared" si="0"/>
        <v>完工</v>
      </c>
      <c r="J22" s="186">
        <v>754</v>
      </c>
      <c r="K22" s="32" t="str">
        <f t="shared" si="1"/>
        <v/>
      </c>
      <c r="L22" s="186" t="s">
        <v>625</v>
      </c>
      <c r="M22" s="187">
        <v>44409</v>
      </c>
      <c r="N22" s="188">
        <v>44473</v>
      </c>
      <c r="O22" s="181" t="s">
        <v>131</v>
      </c>
      <c r="P22" s="181" t="s">
        <v>66</v>
      </c>
      <c r="Q22" s="191"/>
      <c r="R22" s="192"/>
      <c r="S22" s="174">
        <f t="shared" si="2"/>
        <v>0</v>
      </c>
      <c r="T22" s="193" t="str">
        <f t="shared" si="3"/>
        <v/>
      </c>
      <c r="U22" s="175" t="str">
        <f t="shared" si="12"/>
        <v> </v>
      </c>
      <c r="V22" s="175" t="str">
        <f t="shared" si="13"/>
        <v> </v>
      </c>
      <c r="W22" s="175" t="str">
        <f t="shared" si="5"/>
        <v/>
      </c>
      <c r="X22" s="175" t="str">
        <f>IF(I22="完工","",$AB$2-U22)</f>
        <v/>
      </c>
      <c r="Y22" s="195" t="str">
        <f t="shared" si="6"/>
        <v/>
      </c>
      <c r="Z22" s="195" t="str">
        <f t="shared" si="7"/>
        <v/>
      </c>
      <c r="AA22" s="195" t="str">
        <f t="shared" si="8"/>
        <v/>
      </c>
      <c r="AB22" s="194"/>
      <c r="AC22" s="196" t="str">
        <f t="shared" si="9"/>
        <v/>
      </c>
    </row>
    <row r="23" s="174" customFormat="1" ht="14.15" hidden="1" customHeight="1" spans="1:29">
      <c r="A23" s="181">
        <v>23</v>
      </c>
      <c r="B23" s="181" t="s">
        <v>632</v>
      </c>
      <c r="C23" s="181" t="s">
        <v>129</v>
      </c>
      <c r="D23" s="181" t="s">
        <v>633</v>
      </c>
      <c r="E23" s="182">
        <v>110</v>
      </c>
      <c r="F23" s="182">
        <v>110</v>
      </c>
      <c r="G23" s="182">
        <v>0</v>
      </c>
      <c r="H23" s="182">
        <v>0</v>
      </c>
      <c r="I23" s="185" t="str">
        <f t="shared" si="0"/>
        <v>完工</v>
      </c>
      <c r="J23" s="186">
        <v>110</v>
      </c>
      <c r="K23" s="32" t="str">
        <f t="shared" si="1"/>
        <v/>
      </c>
      <c r="L23" s="186" t="s">
        <v>625</v>
      </c>
      <c r="M23" s="187">
        <v>44409</v>
      </c>
      <c r="N23" s="188">
        <v>44474</v>
      </c>
      <c r="O23" s="181" t="s">
        <v>131</v>
      </c>
      <c r="P23" s="181" t="s">
        <v>66</v>
      </c>
      <c r="Q23" s="191"/>
      <c r="R23" s="192"/>
      <c r="S23" s="174">
        <f t="shared" si="2"/>
        <v>0</v>
      </c>
      <c r="T23" s="193" t="str">
        <f t="shared" si="3"/>
        <v/>
      </c>
      <c r="U23" s="175" t="str">
        <f t="shared" si="12"/>
        <v> </v>
      </c>
      <c r="V23" s="175" t="str">
        <f t="shared" si="13"/>
        <v> </v>
      </c>
      <c r="W23" s="175" t="str">
        <f t="shared" si="5"/>
        <v/>
      </c>
      <c r="X23" s="175" t="str">
        <f>IF(I23="完工","",$AB$2-U23)</f>
        <v/>
      </c>
      <c r="Y23" s="195" t="str">
        <f t="shared" si="6"/>
        <v/>
      </c>
      <c r="Z23" s="195" t="str">
        <f t="shared" si="7"/>
        <v/>
      </c>
      <c r="AA23" s="195" t="str">
        <f t="shared" si="8"/>
        <v/>
      </c>
      <c r="AB23" s="194"/>
      <c r="AC23" s="196" t="str">
        <f t="shared" si="9"/>
        <v/>
      </c>
    </row>
    <row r="24" s="174" customFormat="1" ht="14.15" hidden="1" customHeight="1" spans="1:29">
      <c r="A24" s="181">
        <v>24</v>
      </c>
      <c r="B24" s="181" t="s">
        <v>634</v>
      </c>
      <c r="C24" s="181" t="s">
        <v>129</v>
      </c>
      <c r="D24" s="181" t="s">
        <v>635</v>
      </c>
      <c r="E24" s="182">
        <v>37524</v>
      </c>
      <c r="F24" s="182">
        <v>0</v>
      </c>
      <c r="G24" s="182">
        <v>12619</v>
      </c>
      <c r="H24" s="182">
        <v>24905</v>
      </c>
      <c r="I24" s="185" t="str">
        <f t="shared" si="0"/>
        <v>在建</v>
      </c>
      <c r="J24" s="186">
        <v>12665</v>
      </c>
      <c r="K24" s="32">
        <f t="shared" si="1"/>
        <v>12665</v>
      </c>
      <c r="L24" s="186" t="s">
        <v>622</v>
      </c>
      <c r="M24" s="187">
        <v>44621</v>
      </c>
      <c r="N24" s="188">
        <v>45627</v>
      </c>
      <c r="O24" s="181" t="s">
        <v>131</v>
      </c>
      <c r="P24" s="181" t="s">
        <v>36</v>
      </c>
      <c r="Q24" s="191"/>
      <c r="R24" s="192"/>
      <c r="S24" s="174">
        <f t="shared" si="2"/>
        <v>0</v>
      </c>
      <c r="T24" s="193">
        <f t="shared" si="3"/>
        <v>0</v>
      </c>
      <c r="U24" s="175">
        <f>IF(I24="完工"," ",2)</f>
        <v>2</v>
      </c>
      <c r="V24" s="175">
        <f t="shared" ref="V24:V25" si="14">IF(I24="完工"," ",0)</f>
        <v>0</v>
      </c>
      <c r="W24" s="175">
        <f t="shared" si="5"/>
        <v>10</v>
      </c>
      <c r="X24" s="175">
        <f>IF(I24="完工","",$AB$2-U24)</f>
        <v>4.5</v>
      </c>
      <c r="Y24" s="195">
        <f t="shared" si="6"/>
        <v>0.45</v>
      </c>
      <c r="Z24" s="195">
        <f t="shared" si="7"/>
        <v>1.004</v>
      </c>
      <c r="AA24" s="195">
        <f t="shared" si="8"/>
        <v>0.554</v>
      </c>
      <c r="AB24" s="194"/>
      <c r="AC24" s="196">
        <f t="shared" si="9"/>
        <v>0.338</v>
      </c>
    </row>
    <row r="25" s="174" customFormat="1" ht="14.15" hidden="1" customHeight="1" spans="1:29">
      <c r="A25" s="181">
        <v>25</v>
      </c>
      <c r="B25" s="181" t="s">
        <v>636</v>
      </c>
      <c r="C25" s="181" t="s">
        <v>129</v>
      </c>
      <c r="D25" s="181" t="s">
        <v>637</v>
      </c>
      <c r="E25" s="182">
        <v>873.2141</v>
      </c>
      <c r="F25" s="182">
        <v>0</v>
      </c>
      <c r="G25" s="182">
        <v>873.2141</v>
      </c>
      <c r="H25" s="182">
        <v>0</v>
      </c>
      <c r="I25" s="185" t="str">
        <f t="shared" si="0"/>
        <v>在建</v>
      </c>
      <c r="J25" s="186">
        <v>450</v>
      </c>
      <c r="K25" s="32">
        <f t="shared" si="1"/>
        <v>450</v>
      </c>
      <c r="L25" s="186"/>
      <c r="M25" s="187" t="s">
        <v>638</v>
      </c>
      <c r="N25" s="188">
        <v>45627</v>
      </c>
      <c r="O25" s="181" t="s">
        <v>131</v>
      </c>
      <c r="P25" s="181" t="s">
        <v>36</v>
      </c>
      <c r="Q25" s="191"/>
      <c r="R25" s="192"/>
      <c r="S25" s="174">
        <f t="shared" si="2"/>
        <v>0</v>
      </c>
      <c r="T25" s="193">
        <f t="shared" si="3"/>
        <v>0</v>
      </c>
      <c r="U25" s="175">
        <f>IF(I25="完工"," ",0)</f>
        <v>0</v>
      </c>
      <c r="V25" s="175">
        <f t="shared" si="14"/>
        <v>0</v>
      </c>
      <c r="W25" s="175">
        <f t="shared" si="5"/>
        <v>12</v>
      </c>
      <c r="X25" s="175">
        <f>IF(I25="完工","",$AB$2-U25)</f>
        <v>6.5</v>
      </c>
      <c r="Y25" s="195">
        <f t="shared" si="6"/>
        <v>0.542</v>
      </c>
      <c r="Z25" s="195">
        <f t="shared" si="7"/>
        <v>0.515</v>
      </c>
      <c r="AA25" s="195">
        <f t="shared" si="8"/>
        <v>-0.027</v>
      </c>
      <c r="AB25" s="194"/>
      <c r="AC25" s="196">
        <f t="shared" si="9"/>
        <v>0.515</v>
      </c>
    </row>
    <row r="26" s="174" customFormat="1" ht="14.15" hidden="1" customHeight="1" spans="1:29">
      <c r="A26" s="181" t="s">
        <v>639</v>
      </c>
      <c r="B26" s="181" t="s">
        <v>640</v>
      </c>
      <c r="C26" s="181" t="s">
        <v>129</v>
      </c>
      <c r="D26" s="181" t="s">
        <v>641</v>
      </c>
      <c r="E26" s="182">
        <v>1445.66</v>
      </c>
      <c r="F26" s="182">
        <v>1445.66</v>
      </c>
      <c r="G26" s="182">
        <v>0</v>
      </c>
      <c r="H26" s="182">
        <v>0</v>
      </c>
      <c r="I26" s="185" t="str">
        <f t="shared" si="0"/>
        <v>完工</v>
      </c>
      <c r="J26" s="186">
        <v>1445.66</v>
      </c>
      <c r="K26" s="32" t="str">
        <f t="shared" si="1"/>
        <v/>
      </c>
      <c r="L26" s="186" t="s">
        <v>625</v>
      </c>
      <c r="M26" s="187">
        <v>44440</v>
      </c>
      <c r="N26" s="188">
        <v>44531</v>
      </c>
      <c r="O26" s="181" t="s">
        <v>131</v>
      </c>
      <c r="P26" s="181" t="s">
        <v>42</v>
      </c>
      <c r="Q26" s="191"/>
      <c r="R26" s="192"/>
      <c r="S26" s="174">
        <f t="shared" si="2"/>
        <v>0</v>
      </c>
      <c r="T26" s="193" t="str">
        <f t="shared" si="3"/>
        <v/>
      </c>
      <c r="U26" s="175" t="str">
        <f>IF(I26="完工"," ",0)</f>
        <v> </v>
      </c>
      <c r="V26" s="175" t="str">
        <f>IF(I26="完工"," ",12)</f>
        <v> </v>
      </c>
      <c r="W26" s="175" t="str">
        <f t="shared" si="5"/>
        <v/>
      </c>
      <c r="X26" s="175" t="str">
        <f>IF(I26="完工","",$AB$2-U26)</f>
        <v/>
      </c>
      <c r="Y26" s="195" t="str">
        <f t="shared" si="6"/>
        <v/>
      </c>
      <c r="Z26" s="195" t="str">
        <f t="shared" si="7"/>
        <v/>
      </c>
      <c r="AA26" s="195" t="str">
        <f t="shared" si="8"/>
        <v/>
      </c>
      <c r="AB26" s="194"/>
      <c r="AC26" s="196" t="str">
        <f t="shared" si="9"/>
        <v/>
      </c>
    </row>
    <row r="27" s="174" customFormat="1" ht="14.15" hidden="1" customHeight="1" spans="1:29">
      <c r="A27" s="181">
        <v>37</v>
      </c>
      <c r="B27" s="181" t="s">
        <v>642</v>
      </c>
      <c r="C27" s="181" t="s">
        <v>129</v>
      </c>
      <c r="D27" s="181" t="s">
        <v>643</v>
      </c>
      <c r="E27" s="182">
        <v>1286.39</v>
      </c>
      <c r="F27" s="182">
        <v>0</v>
      </c>
      <c r="G27" s="182">
        <v>1286.39</v>
      </c>
      <c r="H27" s="182">
        <v>0</v>
      </c>
      <c r="I27" s="185" t="str">
        <f t="shared" ref="I27:I65" si="15">IF(E27=0,"完工",IF(J27&gt;0,IF(J27=E27,"完工","在建"),"未开工"))</f>
        <v>在建</v>
      </c>
      <c r="J27" s="186">
        <v>830</v>
      </c>
      <c r="K27" s="32">
        <f t="shared" ref="K27:K65" si="16">IF(G27=0,"",J27-F27)</f>
        <v>830</v>
      </c>
      <c r="L27" s="186" t="s">
        <v>622</v>
      </c>
      <c r="M27" s="187">
        <v>44562</v>
      </c>
      <c r="N27" s="188">
        <v>44742</v>
      </c>
      <c r="O27" s="181" t="s">
        <v>131</v>
      </c>
      <c r="P27" s="181" t="s">
        <v>132</v>
      </c>
      <c r="Q27" s="191"/>
      <c r="R27" s="192"/>
      <c r="S27" s="174">
        <f t="shared" ref="S27:S64" si="17">E27-F27-G27-H27</f>
        <v>0</v>
      </c>
      <c r="T27" s="193">
        <f t="shared" ref="T27:T65" si="18">IF(I27="完工","",J27-F27-K27)</f>
        <v>0</v>
      </c>
      <c r="U27" s="175">
        <f t="shared" ref="U27:U49" si="19">IF(I27="完工"," ",0)</f>
        <v>0</v>
      </c>
      <c r="V27" s="175">
        <f>IF(I27="完工"," ",6)</f>
        <v>6</v>
      </c>
      <c r="W27" s="175">
        <f t="shared" ref="W27:W65" si="20">IF(I27="完工","",12-U27-V27)</f>
        <v>6</v>
      </c>
      <c r="X27" s="175">
        <f t="shared" ref="X27:X65" si="21">IF(I27="完工","",$AB$2-U27)</f>
        <v>6.5</v>
      </c>
      <c r="Y27" s="195">
        <f t="shared" ref="Y27:Y65" si="22">IF(I27="完工","",ROUND(X27/W27,3))</f>
        <v>1.083</v>
      </c>
      <c r="Z27" s="195">
        <f t="shared" ref="Z27:Z65" si="23">IF(I27="完工","",ROUND(K27/G27,3))</f>
        <v>0.645</v>
      </c>
      <c r="AA27" s="195">
        <f t="shared" ref="AA27:AA65" si="24">IF(I27="完工","",Z27-Y27)</f>
        <v>-0.438</v>
      </c>
      <c r="AB27" s="194"/>
      <c r="AC27" s="196">
        <f t="shared" ref="AC27:AC65" si="25">IF(E27=0,"",IF(ROUND(J27/E27,3)=1,"",ROUND(J27/E27,3)))</f>
        <v>0.645</v>
      </c>
    </row>
    <row r="28" s="174" customFormat="1" ht="14.15" hidden="1" customHeight="1" spans="1:29">
      <c r="A28" s="181">
        <v>38</v>
      </c>
      <c r="B28" s="181" t="s">
        <v>644</v>
      </c>
      <c r="C28" s="181" t="s">
        <v>129</v>
      </c>
      <c r="D28" s="181" t="s">
        <v>645</v>
      </c>
      <c r="E28" s="182">
        <v>611.32</v>
      </c>
      <c r="F28" s="182">
        <v>0</v>
      </c>
      <c r="G28" s="182">
        <v>611.32</v>
      </c>
      <c r="H28" s="182">
        <v>0</v>
      </c>
      <c r="I28" s="185" t="str">
        <f t="shared" si="15"/>
        <v>在建</v>
      </c>
      <c r="J28" s="186">
        <v>485</v>
      </c>
      <c r="K28" s="32">
        <f t="shared" si="16"/>
        <v>485</v>
      </c>
      <c r="L28" s="186" t="s">
        <v>622</v>
      </c>
      <c r="M28" s="187">
        <v>44562</v>
      </c>
      <c r="N28" s="188">
        <v>44742</v>
      </c>
      <c r="O28" s="181" t="s">
        <v>131</v>
      </c>
      <c r="P28" s="181" t="s">
        <v>132</v>
      </c>
      <c r="Q28" s="191"/>
      <c r="R28" s="192"/>
      <c r="S28" s="174">
        <f t="shared" si="17"/>
        <v>0</v>
      </c>
      <c r="T28" s="193">
        <f t="shared" si="18"/>
        <v>0</v>
      </c>
      <c r="U28" s="175">
        <f t="shared" si="19"/>
        <v>0</v>
      </c>
      <c r="V28" s="175">
        <f>IF(I28="完工"," ",6)</f>
        <v>6</v>
      </c>
      <c r="W28" s="175">
        <f t="shared" si="20"/>
        <v>6</v>
      </c>
      <c r="X28" s="175">
        <f t="shared" si="21"/>
        <v>6.5</v>
      </c>
      <c r="Y28" s="195">
        <f t="shared" si="22"/>
        <v>1.083</v>
      </c>
      <c r="Z28" s="195">
        <f t="shared" si="23"/>
        <v>0.793</v>
      </c>
      <c r="AA28" s="195">
        <f t="shared" si="24"/>
        <v>-0.29</v>
      </c>
      <c r="AB28" s="194"/>
      <c r="AC28" s="196">
        <f t="shared" si="25"/>
        <v>0.793</v>
      </c>
    </row>
    <row r="29" s="174" customFormat="1" ht="14.15" hidden="1" customHeight="1" spans="1:29">
      <c r="A29" s="181">
        <v>39</v>
      </c>
      <c r="B29" s="181" t="s">
        <v>646</v>
      </c>
      <c r="C29" s="181" t="s">
        <v>129</v>
      </c>
      <c r="D29" s="181" t="s">
        <v>647</v>
      </c>
      <c r="E29" s="182">
        <v>816.15</v>
      </c>
      <c r="F29" s="182">
        <v>0</v>
      </c>
      <c r="G29" s="182">
        <v>816.15</v>
      </c>
      <c r="H29" s="182">
        <v>0</v>
      </c>
      <c r="I29" s="185" t="str">
        <f t="shared" si="15"/>
        <v>在建</v>
      </c>
      <c r="J29" s="186">
        <v>600</v>
      </c>
      <c r="K29" s="32">
        <f t="shared" si="16"/>
        <v>600</v>
      </c>
      <c r="L29" s="186" t="s">
        <v>622</v>
      </c>
      <c r="M29" s="187">
        <v>44562</v>
      </c>
      <c r="N29" s="188">
        <v>44742</v>
      </c>
      <c r="O29" s="181" t="s">
        <v>131</v>
      </c>
      <c r="P29" s="181" t="s">
        <v>132</v>
      </c>
      <c r="Q29" s="191"/>
      <c r="R29" s="192"/>
      <c r="S29" s="174">
        <f t="shared" si="17"/>
        <v>0</v>
      </c>
      <c r="T29" s="193">
        <f t="shared" si="18"/>
        <v>0</v>
      </c>
      <c r="U29" s="175">
        <f t="shared" si="19"/>
        <v>0</v>
      </c>
      <c r="V29" s="175">
        <f t="shared" ref="V29:V31" si="26">IF(I29="完工"," ",6)</f>
        <v>6</v>
      </c>
      <c r="W29" s="175">
        <f t="shared" si="20"/>
        <v>6</v>
      </c>
      <c r="X29" s="175">
        <f t="shared" si="21"/>
        <v>6.5</v>
      </c>
      <c r="Y29" s="195">
        <f t="shared" si="22"/>
        <v>1.083</v>
      </c>
      <c r="Z29" s="195">
        <f t="shared" si="23"/>
        <v>0.735</v>
      </c>
      <c r="AA29" s="195">
        <f t="shared" si="24"/>
        <v>-0.348</v>
      </c>
      <c r="AB29" s="194"/>
      <c r="AC29" s="196">
        <f t="shared" si="25"/>
        <v>0.735</v>
      </c>
    </row>
    <row r="30" s="174" customFormat="1" ht="14.15" hidden="1" customHeight="1" spans="1:29">
      <c r="A30" s="181">
        <v>40</v>
      </c>
      <c r="B30" s="181" t="s">
        <v>648</v>
      </c>
      <c r="C30" s="181" t="s">
        <v>129</v>
      </c>
      <c r="D30" s="181" t="s">
        <v>649</v>
      </c>
      <c r="E30" s="182">
        <v>481.32</v>
      </c>
      <c r="F30" s="182">
        <v>0</v>
      </c>
      <c r="G30" s="182">
        <v>481.32</v>
      </c>
      <c r="H30" s="182">
        <v>0</v>
      </c>
      <c r="I30" s="185" t="str">
        <f t="shared" si="15"/>
        <v>完工</v>
      </c>
      <c r="J30" s="186">
        <v>481.32</v>
      </c>
      <c r="K30" s="32">
        <f t="shared" si="16"/>
        <v>481.32</v>
      </c>
      <c r="L30" s="186" t="s">
        <v>625</v>
      </c>
      <c r="M30" s="187">
        <v>44562</v>
      </c>
      <c r="N30" s="188">
        <v>44742</v>
      </c>
      <c r="O30" s="181" t="s">
        <v>131</v>
      </c>
      <c r="P30" s="181" t="s">
        <v>132</v>
      </c>
      <c r="Q30" s="191"/>
      <c r="R30" s="192"/>
      <c r="S30" s="174">
        <f t="shared" si="17"/>
        <v>0</v>
      </c>
      <c r="T30" s="193" t="str">
        <f t="shared" si="18"/>
        <v/>
      </c>
      <c r="U30" s="175" t="str">
        <f t="shared" si="19"/>
        <v> </v>
      </c>
      <c r="V30" s="175" t="str">
        <f t="shared" si="26"/>
        <v> </v>
      </c>
      <c r="W30" s="175" t="str">
        <f t="shared" si="20"/>
        <v/>
      </c>
      <c r="X30" s="175" t="str">
        <f t="shared" si="21"/>
        <v/>
      </c>
      <c r="Y30" s="195" t="str">
        <f t="shared" si="22"/>
        <v/>
      </c>
      <c r="Z30" s="195" t="str">
        <f t="shared" si="23"/>
        <v/>
      </c>
      <c r="AA30" s="195" t="str">
        <f t="shared" si="24"/>
        <v/>
      </c>
      <c r="AB30" s="194"/>
      <c r="AC30" s="196" t="str">
        <f t="shared" si="25"/>
        <v/>
      </c>
    </row>
    <row r="31" s="174" customFormat="1" ht="14.15" hidden="1" customHeight="1" spans="1:29">
      <c r="A31" s="181">
        <v>41</v>
      </c>
      <c r="B31" s="181" t="s">
        <v>650</v>
      </c>
      <c r="C31" s="181" t="s">
        <v>129</v>
      </c>
      <c r="D31" s="181" t="s">
        <v>651</v>
      </c>
      <c r="E31" s="182">
        <v>560.17</v>
      </c>
      <c r="F31" s="182">
        <v>0</v>
      </c>
      <c r="G31" s="182">
        <v>560.17</v>
      </c>
      <c r="H31" s="182">
        <v>0</v>
      </c>
      <c r="I31" s="185" t="str">
        <f t="shared" si="15"/>
        <v>在建</v>
      </c>
      <c r="J31" s="186">
        <v>465</v>
      </c>
      <c r="K31" s="32">
        <f t="shared" si="16"/>
        <v>465</v>
      </c>
      <c r="L31" s="186" t="s">
        <v>622</v>
      </c>
      <c r="M31" s="187">
        <v>44562</v>
      </c>
      <c r="N31" s="188">
        <v>44742</v>
      </c>
      <c r="O31" s="181" t="s">
        <v>131</v>
      </c>
      <c r="P31" s="181" t="s">
        <v>132</v>
      </c>
      <c r="Q31" s="191"/>
      <c r="R31" s="192"/>
      <c r="S31" s="174">
        <f t="shared" si="17"/>
        <v>0</v>
      </c>
      <c r="T31" s="193">
        <f t="shared" si="18"/>
        <v>0</v>
      </c>
      <c r="U31" s="175">
        <f t="shared" si="19"/>
        <v>0</v>
      </c>
      <c r="V31" s="175">
        <f t="shared" si="26"/>
        <v>6</v>
      </c>
      <c r="W31" s="175">
        <f t="shared" si="20"/>
        <v>6</v>
      </c>
      <c r="X31" s="175">
        <f t="shared" si="21"/>
        <v>6.5</v>
      </c>
      <c r="Y31" s="195">
        <f t="shared" si="22"/>
        <v>1.083</v>
      </c>
      <c r="Z31" s="195">
        <f t="shared" si="23"/>
        <v>0.83</v>
      </c>
      <c r="AA31" s="195">
        <f t="shared" si="24"/>
        <v>-0.253</v>
      </c>
      <c r="AB31" s="194"/>
      <c r="AC31" s="196">
        <f t="shared" si="25"/>
        <v>0.83</v>
      </c>
    </row>
    <row r="32" s="174" customFormat="1" ht="14.15" hidden="1" customHeight="1" spans="1:29">
      <c r="A32" s="181">
        <v>42</v>
      </c>
      <c r="B32" s="181" t="s">
        <v>652</v>
      </c>
      <c r="C32" s="181" t="s">
        <v>558</v>
      </c>
      <c r="D32" s="181" t="s">
        <v>653</v>
      </c>
      <c r="E32" s="182">
        <v>51347</v>
      </c>
      <c r="F32" s="182">
        <v>39411</v>
      </c>
      <c r="G32" s="182">
        <v>11936</v>
      </c>
      <c r="H32" s="182">
        <v>0</v>
      </c>
      <c r="I32" s="185" t="str">
        <f t="shared" si="15"/>
        <v>在建</v>
      </c>
      <c r="J32" s="186">
        <v>44430</v>
      </c>
      <c r="K32" s="32">
        <f t="shared" si="16"/>
        <v>5019</v>
      </c>
      <c r="L32" s="186" t="s">
        <v>654</v>
      </c>
      <c r="M32" s="187">
        <v>44197</v>
      </c>
      <c r="N32" s="188">
        <v>44896</v>
      </c>
      <c r="O32" s="181" t="s">
        <v>560</v>
      </c>
      <c r="P32" s="181" t="s">
        <v>66</v>
      </c>
      <c r="Q32" s="191"/>
      <c r="R32" s="192"/>
      <c r="S32" s="174">
        <f t="shared" si="17"/>
        <v>0</v>
      </c>
      <c r="T32" s="193">
        <f t="shared" si="18"/>
        <v>0</v>
      </c>
      <c r="U32" s="175">
        <f t="shared" si="19"/>
        <v>0</v>
      </c>
      <c r="V32" s="175">
        <f t="shared" ref="V32:V33" si="27">IF(I32="完工","",0)</f>
        <v>0</v>
      </c>
      <c r="W32" s="175">
        <f t="shared" si="20"/>
        <v>12</v>
      </c>
      <c r="X32" s="175">
        <f t="shared" si="21"/>
        <v>6.5</v>
      </c>
      <c r="Y32" s="195">
        <f t="shared" si="22"/>
        <v>0.542</v>
      </c>
      <c r="Z32" s="195">
        <f t="shared" si="23"/>
        <v>0.42</v>
      </c>
      <c r="AA32" s="195">
        <f t="shared" si="24"/>
        <v>-0.122</v>
      </c>
      <c r="AB32" s="194"/>
      <c r="AC32" s="196">
        <f t="shared" si="25"/>
        <v>0.865</v>
      </c>
    </row>
    <row r="33" s="174" customFormat="1" ht="14.15" hidden="1" customHeight="1" spans="1:29">
      <c r="A33" s="181">
        <v>43</v>
      </c>
      <c r="B33" s="181" t="s">
        <v>655</v>
      </c>
      <c r="C33" s="181" t="s">
        <v>558</v>
      </c>
      <c r="D33" s="181" t="s">
        <v>656</v>
      </c>
      <c r="E33" s="182">
        <v>26000</v>
      </c>
      <c r="F33" s="182">
        <v>17500</v>
      </c>
      <c r="G33" s="182">
        <v>8500</v>
      </c>
      <c r="H33" s="182">
        <v>0</v>
      </c>
      <c r="I33" s="185" t="str">
        <f t="shared" si="15"/>
        <v>在建</v>
      </c>
      <c r="J33" s="186">
        <v>20900</v>
      </c>
      <c r="K33" s="32">
        <f t="shared" si="16"/>
        <v>3400</v>
      </c>
      <c r="L33" s="186" t="s">
        <v>657</v>
      </c>
      <c r="M33" s="187">
        <v>44197</v>
      </c>
      <c r="N33" s="188">
        <v>44896</v>
      </c>
      <c r="O33" s="181" t="s">
        <v>560</v>
      </c>
      <c r="P33" s="181" t="s">
        <v>66</v>
      </c>
      <c r="Q33" s="191"/>
      <c r="R33" s="192"/>
      <c r="S33" s="174">
        <f t="shared" si="17"/>
        <v>0</v>
      </c>
      <c r="T33" s="193">
        <f t="shared" si="18"/>
        <v>0</v>
      </c>
      <c r="U33" s="175">
        <f t="shared" si="19"/>
        <v>0</v>
      </c>
      <c r="V33" s="175">
        <f t="shared" si="27"/>
        <v>0</v>
      </c>
      <c r="W33" s="175">
        <f t="shared" si="20"/>
        <v>12</v>
      </c>
      <c r="X33" s="175">
        <f t="shared" si="21"/>
        <v>6.5</v>
      </c>
      <c r="Y33" s="195">
        <f t="shared" si="22"/>
        <v>0.542</v>
      </c>
      <c r="Z33" s="195">
        <f t="shared" si="23"/>
        <v>0.4</v>
      </c>
      <c r="AA33" s="195">
        <f t="shared" si="24"/>
        <v>-0.142</v>
      </c>
      <c r="AB33" s="194"/>
      <c r="AC33" s="196">
        <f t="shared" si="25"/>
        <v>0.804</v>
      </c>
    </row>
    <row r="34" s="174" customFormat="1" ht="14.15" hidden="1" customHeight="1" spans="1:29">
      <c r="A34" s="181">
        <v>44</v>
      </c>
      <c r="B34" s="181" t="s">
        <v>658</v>
      </c>
      <c r="C34" s="181" t="s">
        <v>558</v>
      </c>
      <c r="D34" s="181" t="s">
        <v>659</v>
      </c>
      <c r="E34" s="182">
        <v>4000</v>
      </c>
      <c r="F34" s="182">
        <v>4000</v>
      </c>
      <c r="G34" s="182">
        <v>0</v>
      </c>
      <c r="H34" s="182">
        <v>0</v>
      </c>
      <c r="I34" s="185" t="str">
        <f t="shared" si="15"/>
        <v>完工</v>
      </c>
      <c r="J34" s="186">
        <v>4000</v>
      </c>
      <c r="K34" s="32" t="str">
        <f t="shared" si="16"/>
        <v/>
      </c>
      <c r="L34" s="186" t="s">
        <v>660</v>
      </c>
      <c r="M34" s="187">
        <v>44256</v>
      </c>
      <c r="N34" s="188">
        <v>44531</v>
      </c>
      <c r="O34" s="181" t="s">
        <v>560</v>
      </c>
      <c r="P34" s="181" t="s">
        <v>132</v>
      </c>
      <c r="Q34" s="191"/>
      <c r="R34" s="192"/>
      <c r="S34" s="174">
        <f t="shared" si="17"/>
        <v>0</v>
      </c>
      <c r="T34" s="193" t="str">
        <f t="shared" si="18"/>
        <v/>
      </c>
      <c r="U34" s="175" t="str">
        <f t="shared" si="19"/>
        <v> </v>
      </c>
      <c r="V34" s="175" t="str">
        <f>IF(I34="完工"," ",12)</f>
        <v> </v>
      </c>
      <c r="W34" s="175" t="str">
        <f t="shared" si="20"/>
        <v/>
      </c>
      <c r="X34" s="175" t="str">
        <f t="shared" si="21"/>
        <v/>
      </c>
      <c r="Y34" s="195" t="str">
        <f t="shared" si="22"/>
        <v/>
      </c>
      <c r="Z34" s="195" t="str">
        <f t="shared" si="23"/>
        <v/>
      </c>
      <c r="AA34" s="195" t="str">
        <f t="shared" si="24"/>
        <v/>
      </c>
      <c r="AB34" s="194"/>
      <c r="AC34" s="196" t="str">
        <f t="shared" si="25"/>
        <v/>
      </c>
    </row>
    <row r="35" s="174" customFormat="1" ht="14.15" hidden="1" customHeight="1" spans="1:29">
      <c r="A35" s="181">
        <v>45</v>
      </c>
      <c r="B35" s="181" t="s">
        <v>661</v>
      </c>
      <c r="C35" s="181" t="s">
        <v>558</v>
      </c>
      <c r="D35" s="181" t="s">
        <v>662</v>
      </c>
      <c r="E35" s="182">
        <v>2000</v>
      </c>
      <c r="F35" s="182">
        <v>400</v>
      </c>
      <c r="G35" s="182">
        <v>1600</v>
      </c>
      <c r="H35" s="182">
        <v>0</v>
      </c>
      <c r="I35" s="185" t="str">
        <f t="shared" si="15"/>
        <v>在建</v>
      </c>
      <c r="J35" s="186">
        <v>1930</v>
      </c>
      <c r="K35" s="32">
        <f t="shared" si="16"/>
        <v>1530</v>
      </c>
      <c r="L35" s="186" t="s">
        <v>663</v>
      </c>
      <c r="M35" s="187">
        <v>44501</v>
      </c>
      <c r="N35" s="188">
        <v>44835</v>
      </c>
      <c r="O35" s="181" t="s">
        <v>560</v>
      </c>
      <c r="P35" s="181" t="s">
        <v>132</v>
      </c>
      <c r="Q35" s="191"/>
      <c r="R35" s="192"/>
      <c r="S35" s="174">
        <f t="shared" si="17"/>
        <v>0</v>
      </c>
      <c r="T35" s="193">
        <f t="shared" si="18"/>
        <v>0</v>
      </c>
      <c r="U35" s="175">
        <f t="shared" si="19"/>
        <v>0</v>
      </c>
      <c r="V35" s="175">
        <f>IF(I35="完工"," ",2)</f>
        <v>2</v>
      </c>
      <c r="W35" s="175">
        <f t="shared" si="20"/>
        <v>10</v>
      </c>
      <c r="X35" s="175">
        <f t="shared" si="21"/>
        <v>6.5</v>
      </c>
      <c r="Y35" s="195">
        <f t="shared" si="22"/>
        <v>0.65</v>
      </c>
      <c r="Z35" s="195">
        <f t="shared" si="23"/>
        <v>0.956</v>
      </c>
      <c r="AA35" s="195">
        <f t="shared" si="24"/>
        <v>0.306</v>
      </c>
      <c r="AB35" s="194"/>
      <c r="AC35" s="196">
        <f t="shared" si="25"/>
        <v>0.965</v>
      </c>
    </row>
    <row r="36" s="174" customFormat="1" ht="14.15" hidden="1" customHeight="1" spans="1:29">
      <c r="A36" s="181">
        <v>46</v>
      </c>
      <c r="B36" s="181" t="s">
        <v>664</v>
      </c>
      <c r="C36" s="181" t="s">
        <v>558</v>
      </c>
      <c r="D36" s="181" t="s">
        <v>665</v>
      </c>
      <c r="E36" s="182">
        <v>6560</v>
      </c>
      <c r="F36" s="182">
        <v>4770</v>
      </c>
      <c r="G36" s="182">
        <v>1790</v>
      </c>
      <c r="H36" s="182">
        <v>0</v>
      </c>
      <c r="I36" s="185" t="str">
        <f t="shared" si="15"/>
        <v>在建</v>
      </c>
      <c r="J36" s="186">
        <v>6490</v>
      </c>
      <c r="K36" s="32">
        <f t="shared" si="16"/>
        <v>1720</v>
      </c>
      <c r="L36" s="186" t="s">
        <v>666</v>
      </c>
      <c r="M36" s="187">
        <v>44501</v>
      </c>
      <c r="N36" s="188">
        <v>44835</v>
      </c>
      <c r="O36" s="181" t="s">
        <v>560</v>
      </c>
      <c r="P36" s="181" t="s">
        <v>132</v>
      </c>
      <c r="Q36" s="191"/>
      <c r="R36" s="192"/>
      <c r="S36" s="174">
        <f t="shared" si="17"/>
        <v>0</v>
      </c>
      <c r="T36" s="193">
        <f t="shared" si="18"/>
        <v>0</v>
      </c>
      <c r="U36" s="175">
        <f t="shared" si="19"/>
        <v>0</v>
      </c>
      <c r="V36" s="175">
        <f>IF(I36="完工"," ",2)</f>
        <v>2</v>
      </c>
      <c r="W36" s="175">
        <f t="shared" si="20"/>
        <v>10</v>
      </c>
      <c r="X36" s="175">
        <f t="shared" si="21"/>
        <v>6.5</v>
      </c>
      <c r="Y36" s="195">
        <f t="shared" si="22"/>
        <v>0.65</v>
      </c>
      <c r="Z36" s="195">
        <f t="shared" si="23"/>
        <v>0.961</v>
      </c>
      <c r="AA36" s="195">
        <f t="shared" si="24"/>
        <v>0.311</v>
      </c>
      <c r="AB36" s="194"/>
      <c r="AC36" s="196">
        <f t="shared" si="25"/>
        <v>0.989</v>
      </c>
    </row>
    <row r="37" s="174" customFormat="1" ht="14.15" hidden="1" customHeight="1" spans="1:29">
      <c r="A37" s="181">
        <v>47</v>
      </c>
      <c r="B37" s="181" t="s">
        <v>667</v>
      </c>
      <c r="C37" s="181" t="s">
        <v>558</v>
      </c>
      <c r="D37" s="181" t="s">
        <v>668</v>
      </c>
      <c r="E37" s="182">
        <v>5400</v>
      </c>
      <c r="F37" s="182">
        <v>5400</v>
      </c>
      <c r="G37" s="182">
        <v>0</v>
      </c>
      <c r="H37" s="182">
        <v>0</v>
      </c>
      <c r="I37" s="185" t="str">
        <f t="shared" si="15"/>
        <v>完工</v>
      </c>
      <c r="J37" s="186">
        <v>5400</v>
      </c>
      <c r="K37" s="32" t="str">
        <f t="shared" si="16"/>
        <v/>
      </c>
      <c r="L37" s="186" t="s">
        <v>660</v>
      </c>
      <c r="M37" s="187">
        <v>44348</v>
      </c>
      <c r="N37" s="188">
        <v>44531</v>
      </c>
      <c r="O37" s="181" t="s">
        <v>560</v>
      </c>
      <c r="P37" s="181" t="s">
        <v>132</v>
      </c>
      <c r="Q37" s="191"/>
      <c r="R37" s="192"/>
      <c r="S37" s="174">
        <f t="shared" si="17"/>
        <v>0</v>
      </c>
      <c r="T37" s="193" t="str">
        <f t="shared" si="18"/>
        <v/>
      </c>
      <c r="U37" s="175" t="str">
        <f t="shared" si="19"/>
        <v> </v>
      </c>
      <c r="V37" s="175" t="str">
        <f t="shared" ref="V37:V39" si="28">IF(I37="完工"," ",12)</f>
        <v> </v>
      </c>
      <c r="W37" s="175" t="str">
        <f t="shared" si="20"/>
        <v/>
      </c>
      <c r="X37" s="175" t="str">
        <f t="shared" si="21"/>
        <v/>
      </c>
      <c r="Y37" s="195" t="str">
        <f t="shared" si="22"/>
        <v/>
      </c>
      <c r="Z37" s="195" t="str">
        <f t="shared" si="23"/>
        <v/>
      </c>
      <c r="AA37" s="195" t="str">
        <f t="shared" si="24"/>
        <v/>
      </c>
      <c r="AB37" s="194"/>
      <c r="AC37" s="196" t="str">
        <f t="shared" si="25"/>
        <v/>
      </c>
    </row>
    <row r="38" s="174" customFormat="1" ht="14.15" hidden="1" customHeight="1" spans="1:29">
      <c r="A38" s="181">
        <v>48</v>
      </c>
      <c r="B38" s="181" t="s">
        <v>669</v>
      </c>
      <c r="C38" s="181" t="s">
        <v>558</v>
      </c>
      <c r="D38" s="181" t="s">
        <v>670</v>
      </c>
      <c r="E38" s="182">
        <v>600</v>
      </c>
      <c r="F38" s="182">
        <v>600</v>
      </c>
      <c r="G38" s="182">
        <v>0</v>
      </c>
      <c r="H38" s="182">
        <v>0</v>
      </c>
      <c r="I38" s="185" t="str">
        <f t="shared" si="15"/>
        <v>完工</v>
      </c>
      <c r="J38" s="186">
        <v>600</v>
      </c>
      <c r="K38" s="32" t="str">
        <f t="shared" si="16"/>
        <v/>
      </c>
      <c r="L38" s="186" t="s">
        <v>660</v>
      </c>
      <c r="M38" s="187">
        <v>44378</v>
      </c>
      <c r="N38" s="188">
        <v>44531</v>
      </c>
      <c r="O38" s="181" t="s">
        <v>560</v>
      </c>
      <c r="P38" s="181" t="s">
        <v>132</v>
      </c>
      <c r="Q38" s="191"/>
      <c r="R38" s="192"/>
      <c r="S38" s="174">
        <f t="shared" si="17"/>
        <v>0</v>
      </c>
      <c r="T38" s="193" t="str">
        <f t="shared" si="18"/>
        <v/>
      </c>
      <c r="U38" s="175" t="str">
        <f t="shared" si="19"/>
        <v> </v>
      </c>
      <c r="V38" s="175" t="str">
        <f t="shared" si="28"/>
        <v> </v>
      </c>
      <c r="W38" s="175" t="str">
        <f t="shared" si="20"/>
        <v/>
      </c>
      <c r="X38" s="175" t="str">
        <f t="shared" si="21"/>
        <v/>
      </c>
      <c r="Y38" s="195" t="str">
        <f t="shared" si="22"/>
        <v/>
      </c>
      <c r="Z38" s="195" t="str">
        <f t="shared" si="23"/>
        <v/>
      </c>
      <c r="AA38" s="195" t="str">
        <f t="shared" si="24"/>
        <v/>
      </c>
      <c r="AB38" s="194"/>
      <c r="AC38" s="196" t="str">
        <f t="shared" si="25"/>
        <v/>
      </c>
    </row>
    <row r="39" s="174" customFormat="1" ht="14.15" hidden="1" customHeight="1" spans="1:29">
      <c r="A39" s="181">
        <v>49</v>
      </c>
      <c r="B39" s="181" t="s">
        <v>671</v>
      </c>
      <c r="C39" s="181" t="s">
        <v>558</v>
      </c>
      <c r="D39" s="181" t="s">
        <v>672</v>
      </c>
      <c r="E39" s="182">
        <v>830</v>
      </c>
      <c r="F39" s="182">
        <v>830</v>
      </c>
      <c r="G39" s="182">
        <v>0</v>
      </c>
      <c r="H39" s="182">
        <v>0</v>
      </c>
      <c r="I39" s="185" t="str">
        <f t="shared" si="15"/>
        <v>完工</v>
      </c>
      <c r="J39" s="186">
        <v>830</v>
      </c>
      <c r="K39" s="32" t="str">
        <f t="shared" si="16"/>
        <v/>
      </c>
      <c r="L39" s="186" t="s">
        <v>660</v>
      </c>
      <c r="M39" s="187">
        <v>44378</v>
      </c>
      <c r="N39" s="188">
        <v>44531</v>
      </c>
      <c r="O39" s="181" t="s">
        <v>560</v>
      </c>
      <c r="P39" s="181" t="s">
        <v>132</v>
      </c>
      <c r="Q39" s="191"/>
      <c r="R39" s="192"/>
      <c r="S39" s="174">
        <f t="shared" si="17"/>
        <v>0</v>
      </c>
      <c r="T39" s="193" t="str">
        <f t="shared" si="18"/>
        <v/>
      </c>
      <c r="U39" s="175" t="str">
        <f t="shared" si="19"/>
        <v> </v>
      </c>
      <c r="V39" s="175" t="str">
        <f t="shared" si="28"/>
        <v> </v>
      </c>
      <c r="W39" s="175" t="str">
        <f t="shared" si="20"/>
        <v/>
      </c>
      <c r="X39" s="175" t="str">
        <f t="shared" si="21"/>
        <v/>
      </c>
      <c r="Y39" s="195" t="str">
        <f t="shared" si="22"/>
        <v/>
      </c>
      <c r="Z39" s="195" t="str">
        <f t="shared" si="23"/>
        <v/>
      </c>
      <c r="AA39" s="195" t="str">
        <f t="shared" si="24"/>
        <v/>
      </c>
      <c r="AB39" s="194"/>
      <c r="AC39" s="196" t="str">
        <f t="shared" si="25"/>
        <v/>
      </c>
    </row>
    <row r="40" s="174" customFormat="1" ht="14.15" hidden="1" customHeight="1" spans="1:29">
      <c r="A40" s="181">
        <v>50</v>
      </c>
      <c r="B40" s="181" t="s">
        <v>673</v>
      </c>
      <c r="C40" s="181" t="s">
        <v>558</v>
      </c>
      <c r="D40" s="181" t="s">
        <v>674</v>
      </c>
      <c r="E40" s="182">
        <v>54500</v>
      </c>
      <c r="F40" s="182">
        <v>19500</v>
      </c>
      <c r="G40" s="182">
        <v>23000</v>
      </c>
      <c r="H40" s="182">
        <v>12000</v>
      </c>
      <c r="I40" s="185" t="str">
        <f t="shared" si="15"/>
        <v>在建</v>
      </c>
      <c r="J40" s="186">
        <v>35700</v>
      </c>
      <c r="K40" s="32">
        <f t="shared" si="16"/>
        <v>16200</v>
      </c>
      <c r="L40" s="186" t="s">
        <v>675</v>
      </c>
      <c r="M40" s="187">
        <v>43952</v>
      </c>
      <c r="N40" s="188">
        <v>45139</v>
      </c>
      <c r="O40" s="181" t="s">
        <v>560</v>
      </c>
      <c r="P40" s="181" t="s">
        <v>132</v>
      </c>
      <c r="Q40" s="191"/>
      <c r="R40" s="192"/>
      <c r="S40" s="174">
        <f t="shared" si="17"/>
        <v>0</v>
      </c>
      <c r="T40" s="193">
        <f t="shared" si="18"/>
        <v>0</v>
      </c>
      <c r="U40" s="175">
        <f t="shared" si="19"/>
        <v>0</v>
      </c>
      <c r="V40" s="175">
        <f>IF(I40="完工"," ",0)</f>
        <v>0</v>
      </c>
      <c r="W40" s="175">
        <f t="shared" si="20"/>
        <v>12</v>
      </c>
      <c r="X40" s="175">
        <f t="shared" si="21"/>
        <v>6.5</v>
      </c>
      <c r="Y40" s="195">
        <f t="shared" si="22"/>
        <v>0.542</v>
      </c>
      <c r="Z40" s="195">
        <f t="shared" si="23"/>
        <v>0.704</v>
      </c>
      <c r="AA40" s="195">
        <f t="shared" si="24"/>
        <v>0.162</v>
      </c>
      <c r="AB40" s="194"/>
      <c r="AC40" s="196">
        <f t="shared" si="25"/>
        <v>0.655</v>
      </c>
    </row>
    <row r="41" s="174" customFormat="1" ht="14.15" hidden="1" customHeight="1" spans="1:29">
      <c r="A41" s="181">
        <v>51</v>
      </c>
      <c r="B41" s="181" t="s">
        <v>676</v>
      </c>
      <c r="C41" s="181" t="s">
        <v>558</v>
      </c>
      <c r="D41" s="181" t="s">
        <v>677</v>
      </c>
      <c r="E41" s="182">
        <v>4000</v>
      </c>
      <c r="F41" s="182">
        <v>2000</v>
      </c>
      <c r="G41" s="182">
        <v>2000</v>
      </c>
      <c r="H41" s="182">
        <v>0</v>
      </c>
      <c r="I41" s="185" t="str">
        <f t="shared" si="15"/>
        <v>在建</v>
      </c>
      <c r="J41" s="186">
        <v>3750</v>
      </c>
      <c r="K41" s="32">
        <f t="shared" si="16"/>
        <v>1750</v>
      </c>
      <c r="L41" s="186" t="s">
        <v>675</v>
      </c>
      <c r="M41" s="187">
        <v>44501</v>
      </c>
      <c r="N41" s="188">
        <v>44743</v>
      </c>
      <c r="O41" s="181" t="s">
        <v>560</v>
      </c>
      <c r="P41" s="181" t="s">
        <v>132</v>
      </c>
      <c r="Q41" s="191"/>
      <c r="R41" s="192"/>
      <c r="S41" s="174">
        <f t="shared" si="17"/>
        <v>0</v>
      </c>
      <c r="T41" s="193">
        <f t="shared" si="18"/>
        <v>0</v>
      </c>
      <c r="U41" s="175">
        <f t="shared" si="19"/>
        <v>0</v>
      </c>
      <c r="V41" s="175">
        <f>IF(I41="完工"," ",5)</f>
        <v>5</v>
      </c>
      <c r="W41" s="175">
        <f t="shared" si="20"/>
        <v>7</v>
      </c>
      <c r="X41" s="175">
        <f t="shared" si="21"/>
        <v>6.5</v>
      </c>
      <c r="Y41" s="195">
        <f t="shared" si="22"/>
        <v>0.929</v>
      </c>
      <c r="Z41" s="195">
        <f t="shared" si="23"/>
        <v>0.875</v>
      </c>
      <c r="AA41" s="195">
        <f t="shared" si="24"/>
        <v>-0.054</v>
      </c>
      <c r="AB41" s="194"/>
      <c r="AC41" s="196">
        <f t="shared" si="25"/>
        <v>0.938</v>
      </c>
    </row>
    <row r="42" s="174" customFormat="1" ht="14.15" hidden="1" customHeight="1" spans="1:29">
      <c r="A42" s="181">
        <v>52</v>
      </c>
      <c r="B42" s="181" t="s">
        <v>678</v>
      </c>
      <c r="C42" s="181" t="s">
        <v>558</v>
      </c>
      <c r="D42" s="181" t="s">
        <v>679</v>
      </c>
      <c r="E42" s="182">
        <v>750</v>
      </c>
      <c r="F42" s="182">
        <v>550</v>
      </c>
      <c r="G42" s="182">
        <v>200</v>
      </c>
      <c r="H42" s="182">
        <v>0</v>
      </c>
      <c r="I42" s="185" t="str">
        <f t="shared" si="15"/>
        <v>完工</v>
      </c>
      <c r="J42" s="186">
        <v>750</v>
      </c>
      <c r="K42" s="32">
        <f t="shared" si="16"/>
        <v>200</v>
      </c>
      <c r="L42" s="186" t="s">
        <v>660</v>
      </c>
      <c r="M42" s="187">
        <v>44470</v>
      </c>
      <c r="N42" s="188">
        <v>44593</v>
      </c>
      <c r="O42" s="181" t="s">
        <v>560</v>
      </c>
      <c r="P42" s="181" t="s">
        <v>132</v>
      </c>
      <c r="Q42" s="191"/>
      <c r="R42" s="192"/>
      <c r="S42" s="174">
        <f t="shared" si="17"/>
        <v>0</v>
      </c>
      <c r="T42" s="193" t="str">
        <f t="shared" si="18"/>
        <v/>
      </c>
      <c r="U42" s="175" t="str">
        <f t="shared" si="19"/>
        <v> </v>
      </c>
      <c r="V42" s="175" t="str">
        <f>IF(I42="完工"," ",10)</f>
        <v> </v>
      </c>
      <c r="W42" s="175" t="str">
        <f t="shared" si="20"/>
        <v/>
      </c>
      <c r="X42" s="175" t="str">
        <f t="shared" si="21"/>
        <v/>
      </c>
      <c r="Y42" s="195" t="str">
        <f t="shared" si="22"/>
        <v/>
      </c>
      <c r="Z42" s="195" t="str">
        <f t="shared" si="23"/>
        <v/>
      </c>
      <c r="AA42" s="195" t="str">
        <f t="shared" si="24"/>
        <v/>
      </c>
      <c r="AB42" s="194"/>
      <c r="AC42" s="196" t="str">
        <f t="shared" si="25"/>
        <v/>
      </c>
    </row>
    <row r="43" s="174" customFormat="1" ht="14.15" hidden="1" customHeight="1" spans="1:29">
      <c r="A43" s="181">
        <v>53</v>
      </c>
      <c r="B43" s="181" t="s">
        <v>680</v>
      </c>
      <c r="C43" s="181" t="s">
        <v>558</v>
      </c>
      <c r="D43" s="181" t="s">
        <v>681</v>
      </c>
      <c r="E43" s="182">
        <v>500</v>
      </c>
      <c r="F43" s="182">
        <v>500</v>
      </c>
      <c r="G43" s="182">
        <v>0</v>
      </c>
      <c r="H43" s="182">
        <v>0</v>
      </c>
      <c r="I43" s="185" t="str">
        <f t="shared" si="15"/>
        <v>完工</v>
      </c>
      <c r="J43" s="186">
        <v>500</v>
      </c>
      <c r="K43" s="32" t="str">
        <f t="shared" si="16"/>
        <v/>
      </c>
      <c r="L43" s="186" t="s">
        <v>660</v>
      </c>
      <c r="M43" s="187">
        <v>44409</v>
      </c>
      <c r="N43" s="188">
        <v>44531</v>
      </c>
      <c r="O43" s="181" t="s">
        <v>560</v>
      </c>
      <c r="P43" s="181" t="s">
        <v>39</v>
      </c>
      <c r="Q43" s="191"/>
      <c r="R43" s="192"/>
      <c r="S43" s="174">
        <f t="shared" si="17"/>
        <v>0</v>
      </c>
      <c r="T43" s="193" t="str">
        <f t="shared" si="18"/>
        <v/>
      </c>
      <c r="U43" s="175" t="str">
        <f t="shared" si="19"/>
        <v> </v>
      </c>
      <c r="V43" s="175" t="str">
        <f t="shared" ref="V43:V44" si="29">IF(I43="完工"," ",12)</f>
        <v> </v>
      </c>
      <c r="W43" s="175" t="str">
        <f t="shared" si="20"/>
        <v/>
      </c>
      <c r="X43" s="175" t="str">
        <f t="shared" si="21"/>
        <v/>
      </c>
      <c r="Y43" s="195" t="str">
        <f t="shared" si="22"/>
        <v/>
      </c>
      <c r="Z43" s="195" t="str">
        <f t="shared" si="23"/>
        <v/>
      </c>
      <c r="AA43" s="195" t="str">
        <f t="shared" si="24"/>
        <v/>
      </c>
      <c r="AB43" s="194"/>
      <c r="AC43" s="196" t="str">
        <f t="shared" si="25"/>
        <v/>
      </c>
    </row>
    <row r="44" s="174" customFormat="1" ht="14.15" hidden="1" customHeight="1" spans="1:29">
      <c r="A44" s="181">
        <v>54</v>
      </c>
      <c r="B44" s="181" t="s">
        <v>682</v>
      </c>
      <c r="C44" s="181" t="s">
        <v>558</v>
      </c>
      <c r="D44" s="181" t="s">
        <v>683</v>
      </c>
      <c r="E44" s="182">
        <v>900</v>
      </c>
      <c r="F44" s="182">
        <v>900</v>
      </c>
      <c r="G44" s="182">
        <v>0</v>
      </c>
      <c r="H44" s="182">
        <v>0</v>
      </c>
      <c r="I44" s="185" t="str">
        <f t="shared" si="15"/>
        <v>完工</v>
      </c>
      <c r="J44" s="186">
        <v>900</v>
      </c>
      <c r="K44" s="32" t="str">
        <f t="shared" si="16"/>
        <v/>
      </c>
      <c r="L44" s="186" t="s">
        <v>660</v>
      </c>
      <c r="M44" s="187">
        <v>44440</v>
      </c>
      <c r="N44" s="188">
        <v>44531</v>
      </c>
      <c r="O44" s="181" t="s">
        <v>560</v>
      </c>
      <c r="P44" s="181" t="s">
        <v>39</v>
      </c>
      <c r="Q44" s="191"/>
      <c r="R44" s="192"/>
      <c r="S44" s="174">
        <f t="shared" si="17"/>
        <v>0</v>
      </c>
      <c r="T44" s="193" t="str">
        <f t="shared" si="18"/>
        <v/>
      </c>
      <c r="U44" s="175" t="str">
        <f t="shared" si="19"/>
        <v> </v>
      </c>
      <c r="V44" s="175" t="str">
        <f t="shared" si="29"/>
        <v> </v>
      </c>
      <c r="W44" s="175" t="str">
        <f t="shared" si="20"/>
        <v/>
      </c>
      <c r="X44" s="175" t="str">
        <f t="shared" si="21"/>
        <v/>
      </c>
      <c r="Y44" s="195" t="str">
        <f t="shared" si="22"/>
        <v/>
      </c>
      <c r="Z44" s="195" t="str">
        <f t="shared" si="23"/>
        <v/>
      </c>
      <c r="AA44" s="195" t="str">
        <f t="shared" si="24"/>
        <v/>
      </c>
      <c r="AB44" s="194"/>
      <c r="AC44" s="196" t="str">
        <f t="shared" si="25"/>
        <v/>
      </c>
    </row>
    <row r="45" s="174" customFormat="1" ht="14.15" hidden="1" customHeight="1" spans="1:29">
      <c r="A45" s="181">
        <v>55</v>
      </c>
      <c r="B45" s="181" t="s">
        <v>684</v>
      </c>
      <c r="C45" s="181" t="s">
        <v>558</v>
      </c>
      <c r="D45" s="181" t="s">
        <v>685</v>
      </c>
      <c r="E45" s="182">
        <v>1000</v>
      </c>
      <c r="F45" s="182">
        <v>400</v>
      </c>
      <c r="G45" s="182">
        <v>400</v>
      </c>
      <c r="H45" s="182">
        <v>200</v>
      </c>
      <c r="I45" s="185" t="str">
        <f t="shared" si="15"/>
        <v>在建</v>
      </c>
      <c r="J45" s="186">
        <v>560</v>
      </c>
      <c r="K45" s="32">
        <f t="shared" si="16"/>
        <v>160</v>
      </c>
      <c r="L45" s="186" t="s">
        <v>686</v>
      </c>
      <c r="M45" s="187">
        <v>44440</v>
      </c>
      <c r="N45" s="188">
        <v>45139</v>
      </c>
      <c r="O45" s="181" t="s">
        <v>560</v>
      </c>
      <c r="P45" s="181" t="s">
        <v>39</v>
      </c>
      <c r="Q45" s="191"/>
      <c r="R45" s="192"/>
      <c r="S45" s="174">
        <f t="shared" si="17"/>
        <v>0</v>
      </c>
      <c r="T45" s="193">
        <f t="shared" si="18"/>
        <v>0</v>
      </c>
      <c r="U45" s="175">
        <f t="shared" si="19"/>
        <v>0</v>
      </c>
      <c r="V45" s="175">
        <f>IF(I45="完工"," ",0)</f>
        <v>0</v>
      </c>
      <c r="W45" s="175">
        <f t="shared" si="20"/>
        <v>12</v>
      </c>
      <c r="X45" s="175">
        <f t="shared" si="21"/>
        <v>6.5</v>
      </c>
      <c r="Y45" s="195">
        <f t="shared" si="22"/>
        <v>0.542</v>
      </c>
      <c r="Z45" s="195">
        <f t="shared" si="23"/>
        <v>0.4</v>
      </c>
      <c r="AA45" s="195">
        <f t="shared" si="24"/>
        <v>-0.142</v>
      </c>
      <c r="AB45" s="194"/>
      <c r="AC45" s="196">
        <f t="shared" si="25"/>
        <v>0.56</v>
      </c>
    </row>
    <row r="46" s="174" customFormat="1" ht="14.15" hidden="1" customHeight="1" spans="1:29">
      <c r="A46" s="181">
        <v>56</v>
      </c>
      <c r="B46" s="181" t="s">
        <v>687</v>
      </c>
      <c r="C46" s="181" t="s">
        <v>558</v>
      </c>
      <c r="D46" s="181" t="s">
        <v>688</v>
      </c>
      <c r="E46" s="182">
        <v>333</v>
      </c>
      <c r="F46" s="182">
        <v>333</v>
      </c>
      <c r="G46" s="182">
        <v>0</v>
      </c>
      <c r="H46" s="182">
        <v>0</v>
      </c>
      <c r="I46" s="185" t="str">
        <f t="shared" si="15"/>
        <v>完工</v>
      </c>
      <c r="J46" s="186">
        <v>333</v>
      </c>
      <c r="K46" s="32" t="str">
        <f t="shared" si="16"/>
        <v/>
      </c>
      <c r="L46" s="186" t="s">
        <v>660</v>
      </c>
      <c r="M46" s="187">
        <v>44501</v>
      </c>
      <c r="N46" s="188">
        <v>44531</v>
      </c>
      <c r="O46" s="181" t="s">
        <v>560</v>
      </c>
      <c r="P46" s="181" t="s">
        <v>39</v>
      </c>
      <c r="Q46" s="191"/>
      <c r="R46" s="192"/>
      <c r="S46" s="174">
        <f t="shared" si="17"/>
        <v>0</v>
      </c>
      <c r="T46" s="193" t="str">
        <f t="shared" si="18"/>
        <v/>
      </c>
      <c r="U46" s="175" t="str">
        <f t="shared" si="19"/>
        <v> </v>
      </c>
      <c r="V46" s="175" t="str">
        <f t="shared" ref="V46:V48" si="30">IF(I46="完工"," ",12)</f>
        <v> </v>
      </c>
      <c r="W46" s="175" t="str">
        <f t="shared" si="20"/>
        <v/>
      </c>
      <c r="X46" s="175" t="str">
        <f t="shared" si="21"/>
        <v/>
      </c>
      <c r="Y46" s="195" t="str">
        <f t="shared" si="22"/>
        <v/>
      </c>
      <c r="Z46" s="195" t="str">
        <f t="shared" si="23"/>
        <v/>
      </c>
      <c r="AA46" s="195" t="str">
        <f t="shared" si="24"/>
        <v/>
      </c>
      <c r="AB46" s="194"/>
      <c r="AC46" s="196" t="str">
        <f t="shared" si="25"/>
        <v/>
      </c>
    </row>
    <row r="47" s="174" customFormat="1" ht="14.15" hidden="1" customHeight="1" spans="1:29">
      <c r="A47" s="181">
        <v>57</v>
      </c>
      <c r="B47" s="181" t="s">
        <v>689</v>
      </c>
      <c r="C47" s="181" t="s">
        <v>558</v>
      </c>
      <c r="D47" s="181" t="s">
        <v>690</v>
      </c>
      <c r="E47" s="182">
        <v>300</v>
      </c>
      <c r="F47" s="182">
        <v>300</v>
      </c>
      <c r="G47" s="182">
        <v>0</v>
      </c>
      <c r="H47" s="182">
        <v>0</v>
      </c>
      <c r="I47" s="185" t="str">
        <f t="shared" si="15"/>
        <v>完工</v>
      </c>
      <c r="J47" s="186">
        <v>300</v>
      </c>
      <c r="K47" s="32" t="str">
        <f t="shared" si="16"/>
        <v/>
      </c>
      <c r="L47" s="186" t="s">
        <v>660</v>
      </c>
      <c r="M47" s="187">
        <v>44409</v>
      </c>
      <c r="N47" s="188">
        <v>44531</v>
      </c>
      <c r="O47" s="181" t="s">
        <v>560</v>
      </c>
      <c r="P47" s="181" t="s">
        <v>39</v>
      </c>
      <c r="Q47" s="191"/>
      <c r="R47" s="192"/>
      <c r="S47" s="174">
        <f t="shared" si="17"/>
        <v>0</v>
      </c>
      <c r="T47" s="193" t="str">
        <f t="shared" si="18"/>
        <v/>
      </c>
      <c r="U47" s="175" t="str">
        <f t="shared" si="19"/>
        <v> </v>
      </c>
      <c r="V47" s="175" t="str">
        <f t="shared" si="30"/>
        <v> </v>
      </c>
      <c r="W47" s="175" t="str">
        <f t="shared" si="20"/>
        <v/>
      </c>
      <c r="X47" s="175" t="str">
        <f t="shared" si="21"/>
        <v/>
      </c>
      <c r="Y47" s="195" t="str">
        <f t="shared" si="22"/>
        <v/>
      </c>
      <c r="Z47" s="195" t="str">
        <f t="shared" si="23"/>
        <v/>
      </c>
      <c r="AA47" s="195" t="str">
        <f t="shared" si="24"/>
        <v/>
      </c>
      <c r="AB47" s="194"/>
      <c r="AC47" s="196" t="str">
        <f t="shared" si="25"/>
        <v/>
      </c>
    </row>
    <row r="48" s="174" customFormat="1" ht="14.15" hidden="1" customHeight="1" spans="1:29">
      <c r="A48" s="181">
        <v>58</v>
      </c>
      <c r="B48" s="181" t="s">
        <v>691</v>
      </c>
      <c r="C48" s="181" t="s">
        <v>558</v>
      </c>
      <c r="D48" s="181" t="s">
        <v>692</v>
      </c>
      <c r="E48" s="182">
        <v>7531</v>
      </c>
      <c r="F48" s="182">
        <v>7531</v>
      </c>
      <c r="G48" s="182">
        <v>0</v>
      </c>
      <c r="H48" s="182">
        <v>0</v>
      </c>
      <c r="I48" s="185" t="str">
        <f t="shared" si="15"/>
        <v>完工</v>
      </c>
      <c r="J48" s="186">
        <v>7531</v>
      </c>
      <c r="K48" s="32" t="str">
        <f t="shared" si="16"/>
        <v/>
      </c>
      <c r="L48" s="186" t="s">
        <v>660</v>
      </c>
      <c r="M48" s="187">
        <v>44440</v>
      </c>
      <c r="N48" s="188">
        <v>44531</v>
      </c>
      <c r="O48" s="181" t="s">
        <v>560</v>
      </c>
      <c r="P48" s="181" t="s">
        <v>36</v>
      </c>
      <c r="Q48" s="191"/>
      <c r="R48" s="192"/>
      <c r="S48" s="174">
        <f t="shared" si="17"/>
        <v>0</v>
      </c>
      <c r="T48" s="193" t="str">
        <f t="shared" si="18"/>
        <v/>
      </c>
      <c r="U48" s="175" t="str">
        <f t="shared" si="19"/>
        <v> </v>
      </c>
      <c r="V48" s="175" t="str">
        <f t="shared" si="30"/>
        <v> </v>
      </c>
      <c r="W48" s="175" t="str">
        <f t="shared" si="20"/>
        <v/>
      </c>
      <c r="X48" s="175" t="str">
        <f t="shared" si="21"/>
        <v/>
      </c>
      <c r="Y48" s="195" t="str">
        <f t="shared" si="22"/>
        <v/>
      </c>
      <c r="Z48" s="195" t="str">
        <f t="shared" si="23"/>
        <v/>
      </c>
      <c r="AA48" s="195" t="str">
        <f t="shared" si="24"/>
        <v/>
      </c>
      <c r="AB48" s="194"/>
      <c r="AC48" s="196" t="str">
        <f t="shared" si="25"/>
        <v/>
      </c>
    </row>
    <row r="49" s="174" customFormat="1" ht="14.15" hidden="1" customHeight="1" spans="1:29">
      <c r="A49" s="181">
        <v>59</v>
      </c>
      <c r="B49" s="181" t="s">
        <v>693</v>
      </c>
      <c r="C49" s="181" t="s">
        <v>558</v>
      </c>
      <c r="D49" s="181" t="s">
        <v>694</v>
      </c>
      <c r="E49" s="182">
        <v>2700</v>
      </c>
      <c r="F49" s="182">
        <v>2460</v>
      </c>
      <c r="G49" s="182">
        <v>240</v>
      </c>
      <c r="H49" s="182">
        <v>0</v>
      </c>
      <c r="I49" s="185" t="str">
        <f t="shared" si="15"/>
        <v>完工</v>
      </c>
      <c r="J49" s="186">
        <v>2700</v>
      </c>
      <c r="K49" s="32">
        <f t="shared" si="16"/>
        <v>240</v>
      </c>
      <c r="L49" s="186" t="s">
        <v>660</v>
      </c>
      <c r="M49" s="187">
        <v>44440</v>
      </c>
      <c r="N49" s="188">
        <v>44652</v>
      </c>
      <c r="O49" s="181" t="s">
        <v>560</v>
      </c>
      <c r="P49" s="181" t="s">
        <v>36</v>
      </c>
      <c r="Q49" s="191"/>
      <c r="R49" s="192"/>
      <c r="S49" s="174">
        <f t="shared" si="17"/>
        <v>0</v>
      </c>
      <c r="T49" s="193" t="str">
        <f t="shared" si="18"/>
        <v/>
      </c>
      <c r="U49" s="175" t="str">
        <f t="shared" si="19"/>
        <v> </v>
      </c>
      <c r="V49" s="175" t="str">
        <f>IF(I49="完工"," ",8)</f>
        <v> </v>
      </c>
      <c r="W49" s="175" t="str">
        <f t="shared" si="20"/>
        <v/>
      </c>
      <c r="X49" s="175" t="str">
        <f t="shared" si="21"/>
        <v/>
      </c>
      <c r="Y49" s="195" t="str">
        <f t="shared" si="22"/>
        <v/>
      </c>
      <c r="Z49" s="195" t="str">
        <f t="shared" si="23"/>
        <v/>
      </c>
      <c r="AA49" s="195" t="str">
        <f t="shared" si="24"/>
        <v/>
      </c>
      <c r="AB49" s="194"/>
      <c r="AC49" s="196" t="str">
        <f t="shared" si="25"/>
        <v/>
      </c>
    </row>
    <row r="50" s="174" customFormat="1" ht="14.15" hidden="1" customHeight="1" spans="1:29">
      <c r="A50" s="181">
        <v>60</v>
      </c>
      <c r="B50" s="181" t="s">
        <v>695</v>
      </c>
      <c r="C50" s="181" t="s">
        <v>558</v>
      </c>
      <c r="D50" s="181" t="s">
        <v>696</v>
      </c>
      <c r="E50" s="182">
        <v>7200</v>
      </c>
      <c r="F50" s="182">
        <v>0</v>
      </c>
      <c r="G50" s="182">
        <v>4000</v>
      </c>
      <c r="H50" s="182">
        <v>3200</v>
      </c>
      <c r="I50" s="185" t="str">
        <f t="shared" si="15"/>
        <v>在建</v>
      </c>
      <c r="J50" s="186">
        <v>4980</v>
      </c>
      <c r="K50" s="32">
        <f t="shared" si="16"/>
        <v>4980</v>
      </c>
      <c r="L50" s="186" t="s">
        <v>697</v>
      </c>
      <c r="M50" s="187">
        <v>44621</v>
      </c>
      <c r="N50" s="188">
        <v>45139</v>
      </c>
      <c r="O50" s="181" t="s">
        <v>560</v>
      </c>
      <c r="P50" s="181" t="s">
        <v>36</v>
      </c>
      <c r="Q50" s="191"/>
      <c r="R50" s="192"/>
      <c r="S50" s="174">
        <f t="shared" si="17"/>
        <v>0</v>
      </c>
      <c r="T50" s="193">
        <f t="shared" si="18"/>
        <v>0</v>
      </c>
      <c r="U50" s="175">
        <f t="shared" ref="U50:U51" si="31">IF(I50="完工"," ",2)</f>
        <v>2</v>
      </c>
      <c r="V50" s="175">
        <f t="shared" ref="V50:V51" si="32">IF(I50="完工"," ",0)</f>
        <v>0</v>
      </c>
      <c r="W50" s="175">
        <f t="shared" si="20"/>
        <v>10</v>
      </c>
      <c r="X50" s="175">
        <f t="shared" si="21"/>
        <v>4.5</v>
      </c>
      <c r="Y50" s="195">
        <f t="shared" si="22"/>
        <v>0.45</v>
      </c>
      <c r="Z50" s="195">
        <f t="shared" si="23"/>
        <v>1.245</v>
      </c>
      <c r="AA50" s="195">
        <f t="shared" si="24"/>
        <v>0.795</v>
      </c>
      <c r="AB50" s="194"/>
      <c r="AC50" s="196">
        <f t="shared" si="25"/>
        <v>0.692</v>
      </c>
    </row>
    <row r="51" s="174" customFormat="1" ht="14.15" hidden="1" customHeight="1" spans="1:29">
      <c r="A51" s="181">
        <v>61</v>
      </c>
      <c r="B51" s="181" t="s">
        <v>698</v>
      </c>
      <c r="C51" s="181" t="s">
        <v>558</v>
      </c>
      <c r="D51" s="181" t="s">
        <v>699</v>
      </c>
      <c r="E51" s="182">
        <v>5390</v>
      </c>
      <c r="F51" s="182">
        <v>0</v>
      </c>
      <c r="G51" s="182">
        <v>5000</v>
      </c>
      <c r="H51" s="182">
        <v>390</v>
      </c>
      <c r="I51" s="185" t="str">
        <f t="shared" si="15"/>
        <v>完工</v>
      </c>
      <c r="J51" s="186">
        <v>5390</v>
      </c>
      <c r="K51" s="32">
        <f t="shared" si="16"/>
        <v>5390</v>
      </c>
      <c r="L51" s="186" t="s">
        <v>700</v>
      </c>
      <c r="M51" s="187">
        <v>44621</v>
      </c>
      <c r="N51" s="188">
        <v>44986</v>
      </c>
      <c r="O51" s="181" t="s">
        <v>560</v>
      </c>
      <c r="P51" s="181" t="s">
        <v>36</v>
      </c>
      <c r="Q51" s="191"/>
      <c r="R51" s="192"/>
      <c r="S51" s="174">
        <f t="shared" si="17"/>
        <v>0</v>
      </c>
      <c r="T51" s="193" t="str">
        <f t="shared" si="18"/>
        <v/>
      </c>
      <c r="U51" s="175" t="str">
        <f t="shared" si="31"/>
        <v> </v>
      </c>
      <c r="V51" s="175" t="str">
        <f t="shared" si="32"/>
        <v> </v>
      </c>
      <c r="W51" s="175" t="str">
        <f t="shared" si="20"/>
        <v/>
      </c>
      <c r="X51" s="175" t="str">
        <f t="shared" si="21"/>
        <v/>
      </c>
      <c r="Y51" s="195" t="str">
        <f t="shared" si="22"/>
        <v/>
      </c>
      <c r="Z51" s="195" t="str">
        <f t="shared" si="23"/>
        <v/>
      </c>
      <c r="AA51" s="195" t="str">
        <f t="shared" si="24"/>
        <v/>
      </c>
      <c r="AB51" s="194"/>
      <c r="AC51" s="196" t="str">
        <f t="shared" si="25"/>
        <v/>
      </c>
    </row>
    <row r="52" s="174" customFormat="1" ht="14.15" hidden="1" customHeight="1" spans="1:29">
      <c r="A52" s="181">
        <v>62</v>
      </c>
      <c r="B52" s="181" t="s">
        <v>701</v>
      </c>
      <c r="C52" s="181" t="s">
        <v>558</v>
      </c>
      <c r="D52" s="181" t="s">
        <v>702</v>
      </c>
      <c r="E52" s="182">
        <v>6148.56</v>
      </c>
      <c r="F52" s="182">
        <v>0</v>
      </c>
      <c r="G52" s="182">
        <v>6148.56</v>
      </c>
      <c r="H52" s="182">
        <v>0</v>
      </c>
      <c r="I52" s="185" t="str">
        <f t="shared" si="15"/>
        <v>完工</v>
      </c>
      <c r="J52" s="186">
        <v>6148.56</v>
      </c>
      <c r="K52" s="32">
        <f t="shared" si="16"/>
        <v>6148.56</v>
      </c>
      <c r="L52" s="186">
        <v>1</v>
      </c>
      <c r="M52" s="187">
        <v>44743</v>
      </c>
      <c r="N52" s="188">
        <v>44896</v>
      </c>
      <c r="O52" s="181" t="s">
        <v>560</v>
      </c>
      <c r="P52" s="181" t="s">
        <v>36</v>
      </c>
      <c r="Q52" s="191"/>
      <c r="R52" s="192"/>
      <c r="S52" s="174">
        <f t="shared" si="17"/>
        <v>0</v>
      </c>
      <c r="T52" s="193" t="str">
        <f t="shared" si="18"/>
        <v/>
      </c>
      <c r="U52" s="175" t="str">
        <f>IF(I52="完工"," ",2.7)</f>
        <v> </v>
      </c>
      <c r="V52" s="175" t="str">
        <f>IF(I52="完工","",0)</f>
        <v/>
      </c>
      <c r="W52" s="175" t="str">
        <f t="shared" si="20"/>
        <v/>
      </c>
      <c r="X52" s="175" t="str">
        <f t="shared" si="21"/>
        <v/>
      </c>
      <c r="Y52" s="195" t="str">
        <f t="shared" si="22"/>
        <v/>
      </c>
      <c r="Z52" s="195" t="str">
        <f t="shared" si="23"/>
        <v/>
      </c>
      <c r="AA52" s="195" t="str">
        <f t="shared" si="24"/>
        <v/>
      </c>
      <c r="AB52" s="194"/>
      <c r="AC52" s="196" t="str">
        <f t="shared" si="25"/>
        <v/>
      </c>
    </row>
    <row r="53" s="174" customFormat="1" ht="14.15" hidden="1" customHeight="1" spans="1:29">
      <c r="A53" s="181">
        <v>63</v>
      </c>
      <c r="B53" s="181" t="s">
        <v>703</v>
      </c>
      <c r="C53" s="181" t="s">
        <v>558</v>
      </c>
      <c r="D53" s="181" t="s">
        <v>704</v>
      </c>
      <c r="E53" s="182">
        <v>17723.41</v>
      </c>
      <c r="F53" s="182">
        <v>0</v>
      </c>
      <c r="G53" s="182">
        <v>10000</v>
      </c>
      <c r="H53" s="182">
        <v>7723.41</v>
      </c>
      <c r="I53" s="185" t="str">
        <f t="shared" si="15"/>
        <v>在建</v>
      </c>
      <c r="J53" s="186">
        <v>4242.2</v>
      </c>
      <c r="K53" s="32">
        <f t="shared" si="16"/>
        <v>4242.2</v>
      </c>
      <c r="L53" s="186" t="s">
        <v>705</v>
      </c>
      <c r="M53" s="187">
        <v>44621</v>
      </c>
      <c r="N53" s="188">
        <v>45139</v>
      </c>
      <c r="O53" s="181" t="s">
        <v>560</v>
      </c>
      <c r="P53" s="181" t="s">
        <v>36</v>
      </c>
      <c r="Q53" s="191"/>
      <c r="R53" s="192"/>
      <c r="S53" s="174">
        <f t="shared" si="17"/>
        <v>0</v>
      </c>
      <c r="T53" s="193">
        <f t="shared" si="18"/>
        <v>0</v>
      </c>
      <c r="U53" s="175">
        <f t="shared" ref="U53:U54" si="33">IF(I53="完工"," ",2)</f>
        <v>2</v>
      </c>
      <c r="V53" s="175">
        <f t="shared" ref="V53:V54" si="34">IF(I53="完工"," ",0)</f>
        <v>0</v>
      </c>
      <c r="W53" s="175">
        <f t="shared" si="20"/>
        <v>10</v>
      </c>
      <c r="X53" s="175">
        <f t="shared" si="21"/>
        <v>4.5</v>
      </c>
      <c r="Y53" s="195">
        <f t="shared" si="22"/>
        <v>0.45</v>
      </c>
      <c r="Z53" s="195">
        <f t="shared" si="23"/>
        <v>0.424</v>
      </c>
      <c r="AA53" s="195">
        <f t="shared" si="24"/>
        <v>-0.026</v>
      </c>
      <c r="AB53" s="194"/>
      <c r="AC53" s="196">
        <f t="shared" si="25"/>
        <v>0.239</v>
      </c>
    </row>
    <row r="54" s="174" customFormat="1" ht="14.15" hidden="1" customHeight="1" spans="1:29">
      <c r="A54" s="181">
        <v>64</v>
      </c>
      <c r="B54" s="181" t="s">
        <v>706</v>
      </c>
      <c r="C54" s="181" t="s">
        <v>558</v>
      </c>
      <c r="D54" s="181" t="s">
        <v>707</v>
      </c>
      <c r="E54" s="182">
        <v>9052</v>
      </c>
      <c r="F54" s="182">
        <v>0</v>
      </c>
      <c r="G54" s="182">
        <v>8000</v>
      </c>
      <c r="H54" s="182">
        <v>1052</v>
      </c>
      <c r="I54" s="185" t="str">
        <f t="shared" si="15"/>
        <v>在建</v>
      </c>
      <c r="J54" s="186">
        <v>8018</v>
      </c>
      <c r="K54" s="32">
        <f t="shared" si="16"/>
        <v>8018</v>
      </c>
      <c r="L54" s="186" t="s">
        <v>708</v>
      </c>
      <c r="M54" s="187">
        <v>44621</v>
      </c>
      <c r="N54" s="188">
        <v>44986</v>
      </c>
      <c r="O54" s="181" t="s">
        <v>560</v>
      </c>
      <c r="P54" s="181" t="s">
        <v>36</v>
      </c>
      <c r="Q54" s="191"/>
      <c r="R54" s="192"/>
      <c r="S54" s="174">
        <f t="shared" si="17"/>
        <v>0</v>
      </c>
      <c r="T54" s="193">
        <f t="shared" si="18"/>
        <v>0</v>
      </c>
      <c r="U54" s="175">
        <f t="shared" si="33"/>
        <v>2</v>
      </c>
      <c r="V54" s="175">
        <f t="shared" si="34"/>
        <v>0</v>
      </c>
      <c r="W54" s="175">
        <f t="shared" si="20"/>
        <v>10</v>
      </c>
      <c r="X54" s="175">
        <f t="shared" si="21"/>
        <v>4.5</v>
      </c>
      <c r="Y54" s="195">
        <f t="shared" si="22"/>
        <v>0.45</v>
      </c>
      <c r="Z54" s="195">
        <f t="shared" si="23"/>
        <v>1.002</v>
      </c>
      <c r="AA54" s="195">
        <f t="shared" si="24"/>
        <v>0.552</v>
      </c>
      <c r="AB54" s="194"/>
      <c r="AC54" s="196">
        <f t="shared" si="25"/>
        <v>0.886</v>
      </c>
    </row>
    <row r="55" s="174" customFormat="1" ht="14.15" hidden="1" customHeight="1" spans="1:29">
      <c r="A55" s="181">
        <v>65</v>
      </c>
      <c r="B55" s="181" t="s">
        <v>709</v>
      </c>
      <c r="C55" s="181" t="s">
        <v>558</v>
      </c>
      <c r="D55" s="181" t="s">
        <v>710</v>
      </c>
      <c r="E55" s="182">
        <v>650</v>
      </c>
      <c r="F55" s="182">
        <v>460</v>
      </c>
      <c r="G55" s="182">
        <v>190</v>
      </c>
      <c r="H55" s="182">
        <v>0</v>
      </c>
      <c r="I55" s="185" t="str">
        <f t="shared" si="15"/>
        <v>完工</v>
      </c>
      <c r="J55" s="186">
        <v>650</v>
      </c>
      <c r="K55" s="32">
        <f t="shared" si="16"/>
        <v>190</v>
      </c>
      <c r="L55" s="186" t="s">
        <v>660</v>
      </c>
      <c r="M55" s="187">
        <v>44470</v>
      </c>
      <c r="N55" s="188">
        <v>44621</v>
      </c>
      <c r="O55" s="181" t="s">
        <v>560</v>
      </c>
      <c r="P55" s="181" t="s">
        <v>36</v>
      </c>
      <c r="Q55" s="191"/>
      <c r="R55" s="192"/>
      <c r="S55" s="174">
        <f t="shared" si="17"/>
        <v>0</v>
      </c>
      <c r="T55" s="193" t="str">
        <f t="shared" si="18"/>
        <v/>
      </c>
      <c r="U55" s="175" t="str">
        <f t="shared" ref="U55" si="35">IF(I55="完工"," ",0)</f>
        <v> </v>
      </c>
      <c r="V55" s="175" t="str">
        <f>IF(I55="完工"," ",9)</f>
        <v> </v>
      </c>
      <c r="W55" s="175" t="str">
        <f t="shared" si="20"/>
        <v/>
      </c>
      <c r="X55" s="175" t="str">
        <f t="shared" si="21"/>
        <v/>
      </c>
      <c r="Y55" s="195" t="str">
        <f t="shared" si="22"/>
        <v/>
      </c>
      <c r="Z55" s="195" t="str">
        <f t="shared" si="23"/>
        <v/>
      </c>
      <c r="AA55" s="195" t="str">
        <f t="shared" si="24"/>
        <v/>
      </c>
      <c r="AB55" s="194"/>
      <c r="AC55" s="196" t="str">
        <f t="shared" si="25"/>
        <v/>
      </c>
    </row>
    <row r="56" s="174" customFormat="1" ht="14.15" hidden="1" customHeight="1" spans="1:29">
      <c r="A56" s="181">
        <v>66</v>
      </c>
      <c r="B56" s="181" t="s">
        <v>711</v>
      </c>
      <c r="C56" s="181" t="s">
        <v>558</v>
      </c>
      <c r="D56" s="181" t="s">
        <v>712</v>
      </c>
      <c r="E56" s="182">
        <v>8000</v>
      </c>
      <c r="F56" s="182">
        <v>0</v>
      </c>
      <c r="G56" s="182">
        <v>5000</v>
      </c>
      <c r="H56" s="182">
        <v>3000</v>
      </c>
      <c r="I56" s="185" t="str">
        <f t="shared" si="15"/>
        <v>在建</v>
      </c>
      <c r="J56" s="186">
        <v>3275</v>
      </c>
      <c r="K56" s="32">
        <f t="shared" si="16"/>
        <v>3275</v>
      </c>
      <c r="L56" s="186" t="s">
        <v>713</v>
      </c>
      <c r="M56" s="187">
        <v>44805</v>
      </c>
      <c r="N56" s="188">
        <v>45139</v>
      </c>
      <c r="O56" s="181" t="s">
        <v>560</v>
      </c>
      <c r="P56" s="181" t="s">
        <v>36</v>
      </c>
      <c r="Q56" s="191"/>
      <c r="R56" s="192"/>
      <c r="S56" s="174">
        <f t="shared" si="17"/>
        <v>0</v>
      </c>
      <c r="T56" s="193">
        <f t="shared" si="18"/>
        <v>0</v>
      </c>
      <c r="U56" s="175">
        <f>IF(I56="完工"," ",2.7)</f>
        <v>2.7</v>
      </c>
      <c r="V56" s="175">
        <f>IF(I56="完工"," ",0)</f>
        <v>0</v>
      </c>
      <c r="W56" s="175">
        <f t="shared" si="20"/>
        <v>9.3</v>
      </c>
      <c r="X56" s="175">
        <f t="shared" si="21"/>
        <v>3.8</v>
      </c>
      <c r="Y56" s="195">
        <f t="shared" si="22"/>
        <v>0.409</v>
      </c>
      <c r="Z56" s="195">
        <f t="shared" si="23"/>
        <v>0.655</v>
      </c>
      <c r="AA56" s="195">
        <f t="shared" si="24"/>
        <v>0.246</v>
      </c>
      <c r="AB56" s="194"/>
      <c r="AC56" s="196">
        <f t="shared" si="25"/>
        <v>0.409</v>
      </c>
    </row>
    <row r="57" s="174" customFormat="1" ht="14.15" hidden="1" customHeight="1" spans="1:29">
      <c r="A57" s="181">
        <v>67</v>
      </c>
      <c r="B57" s="181" t="s">
        <v>714</v>
      </c>
      <c r="C57" s="181" t="s">
        <v>558</v>
      </c>
      <c r="D57" s="181" t="s">
        <v>715</v>
      </c>
      <c r="E57" s="182">
        <v>120</v>
      </c>
      <c r="F57" s="182">
        <v>120</v>
      </c>
      <c r="G57" s="182">
        <v>0</v>
      </c>
      <c r="H57" s="182">
        <v>0</v>
      </c>
      <c r="I57" s="185" t="str">
        <f t="shared" si="15"/>
        <v>完工</v>
      </c>
      <c r="J57" s="186">
        <v>120</v>
      </c>
      <c r="K57" s="32" t="str">
        <f t="shared" si="16"/>
        <v/>
      </c>
      <c r="L57" s="186">
        <v>1</v>
      </c>
      <c r="M57" s="187">
        <v>44440</v>
      </c>
      <c r="N57" s="188">
        <v>44531</v>
      </c>
      <c r="O57" s="181" t="s">
        <v>560</v>
      </c>
      <c r="P57" s="181" t="s">
        <v>36</v>
      </c>
      <c r="Q57" s="191"/>
      <c r="R57" s="192"/>
      <c r="S57" s="174">
        <f t="shared" si="17"/>
        <v>0</v>
      </c>
      <c r="T57" s="193" t="str">
        <f t="shared" si="18"/>
        <v/>
      </c>
      <c r="U57" s="175" t="str">
        <f t="shared" ref="U57:U62" si="36">IF(I57="完工"," ",0)</f>
        <v> </v>
      </c>
      <c r="V57" s="175" t="str">
        <f>IF(I57="完工"," ",12)</f>
        <v> </v>
      </c>
      <c r="W57" s="175" t="str">
        <f t="shared" si="20"/>
        <v/>
      </c>
      <c r="X57" s="175" t="str">
        <f t="shared" si="21"/>
        <v/>
      </c>
      <c r="Y57" s="195" t="str">
        <f t="shared" si="22"/>
        <v/>
      </c>
      <c r="Z57" s="195" t="str">
        <f t="shared" si="23"/>
        <v/>
      </c>
      <c r="AA57" s="195" t="str">
        <f t="shared" si="24"/>
        <v/>
      </c>
      <c r="AB57" s="194"/>
      <c r="AC57" s="196" t="str">
        <f t="shared" si="25"/>
        <v/>
      </c>
    </row>
    <row r="58" s="174" customFormat="1" ht="14.15" hidden="1" customHeight="1" spans="1:29">
      <c r="A58" s="181">
        <v>68</v>
      </c>
      <c r="B58" s="181" t="s">
        <v>716</v>
      </c>
      <c r="C58" s="181" t="s">
        <v>558</v>
      </c>
      <c r="D58" s="181" t="s">
        <v>717</v>
      </c>
      <c r="E58" s="182">
        <v>9100</v>
      </c>
      <c r="F58" s="182">
        <v>1200</v>
      </c>
      <c r="G58" s="182">
        <v>7900</v>
      </c>
      <c r="H58" s="182">
        <v>0</v>
      </c>
      <c r="I58" s="185" t="str">
        <f t="shared" si="15"/>
        <v>在建</v>
      </c>
      <c r="J58" s="186">
        <v>8790</v>
      </c>
      <c r="K58" s="32">
        <f t="shared" si="16"/>
        <v>7590</v>
      </c>
      <c r="L58" s="186" t="s">
        <v>718</v>
      </c>
      <c r="M58" s="187">
        <v>44378</v>
      </c>
      <c r="N58" s="188">
        <v>44896</v>
      </c>
      <c r="O58" s="181" t="s">
        <v>560</v>
      </c>
      <c r="P58" s="181" t="s">
        <v>33</v>
      </c>
      <c r="Q58" s="191"/>
      <c r="R58" s="192"/>
      <c r="S58" s="174">
        <f t="shared" si="17"/>
        <v>0</v>
      </c>
      <c r="T58" s="193">
        <f t="shared" si="18"/>
        <v>0</v>
      </c>
      <c r="U58" s="175">
        <f t="shared" si="36"/>
        <v>0</v>
      </c>
      <c r="V58" s="175">
        <f>IF(I58="完工","",0)</f>
        <v>0</v>
      </c>
      <c r="W58" s="175">
        <f t="shared" si="20"/>
        <v>12</v>
      </c>
      <c r="X58" s="175">
        <f t="shared" si="21"/>
        <v>6.5</v>
      </c>
      <c r="Y58" s="195">
        <f t="shared" si="22"/>
        <v>0.542</v>
      </c>
      <c r="Z58" s="195">
        <f t="shared" si="23"/>
        <v>0.961</v>
      </c>
      <c r="AA58" s="195">
        <f t="shared" si="24"/>
        <v>0.419</v>
      </c>
      <c r="AB58" s="194"/>
      <c r="AC58" s="196">
        <f t="shared" si="25"/>
        <v>0.966</v>
      </c>
    </row>
    <row r="59" s="174" customFormat="1" ht="14.15" hidden="1" customHeight="1" spans="1:29">
      <c r="A59" s="181">
        <v>69</v>
      </c>
      <c r="B59" s="181" t="s">
        <v>719</v>
      </c>
      <c r="C59" s="181" t="s">
        <v>558</v>
      </c>
      <c r="D59" s="181" t="s">
        <v>720</v>
      </c>
      <c r="E59" s="182">
        <v>14850</v>
      </c>
      <c r="F59" s="182">
        <v>0</v>
      </c>
      <c r="G59" s="182">
        <v>8850</v>
      </c>
      <c r="H59" s="182">
        <v>6000</v>
      </c>
      <c r="I59" s="185" t="str">
        <f t="shared" si="15"/>
        <v>在建</v>
      </c>
      <c r="J59" s="186">
        <v>9860</v>
      </c>
      <c r="K59" s="32">
        <f t="shared" si="16"/>
        <v>9860</v>
      </c>
      <c r="L59" s="186" t="s">
        <v>721</v>
      </c>
      <c r="M59" s="187">
        <v>44562</v>
      </c>
      <c r="N59" s="188">
        <v>45139</v>
      </c>
      <c r="O59" s="181" t="s">
        <v>560</v>
      </c>
      <c r="P59" s="181" t="s">
        <v>33</v>
      </c>
      <c r="Q59" s="191"/>
      <c r="R59" s="192"/>
      <c r="S59" s="174">
        <f t="shared" si="17"/>
        <v>0</v>
      </c>
      <c r="T59" s="193">
        <f t="shared" si="18"/>
        <v>0</v>
      </c>
      <c r="U59" s="175">
        <f t="shared" si="36"/>
        <v>0</v>
      </c>
      <c r="V59" s="175">
        <f t="shared" ref="V59:V70" si="37">IF(I59="完工"," ",0)</f>
        <v>0</v>
      </c>
      <c r="W59" s="175">
        <f t="shared" si="20"/>
        <v>12</v>
      </c>
      <c r="X59" s="175">
        <f t="shared" si="21"/>
        <v>6.5</v>
      </c>
      <c r="Y59" s="195">
        <f t="shared" si="22"/>
        <v>0.542</v>
      </c>
      <c r="Z59" s="195">
        <f t="shared" si="23"/>
        <v>1.114</v>
      </c>
      <c r="AA59" s="195">
        <f t="shared" si="24"/>
        <v>0.572</v>
      </c>
      <c r="AB59" s="194"/>
      <c r="AC59" s="196">
        <f t="shared" si="25"/>
        <v>0.664</v>
      </c>
    </row>
    <row r="60" s="174" customFormat="1" ht="14.15" hidden="1" customHeight="1" spans="1:29">
      <c r="A60" s="181">
        <v>70</v>
      </c>
      <c r="B60" s="181" t="s">
        <v>722</v>
      </c>
      <c r="C60" s="181" t="s">
        <v>558</v>
      </c>
      <c r="D60" s="181" t="s">
        <v>723</v>
      </c>
      <c r="E60" s="182">
        <v>5000</v>
      </c>
      <c r="F60" s="182">
        <v>1000</v>
      </c>
      <c r="G60" s="182">
        <v>2500</v>
      </c>
      <c r="H60" s="182">
        <v>1500</v>
      </c>
      <c r="I60" s="185" t="str">
        <f t="shared" si="15"/>
        <v>在建</v>
      </c>
      <c r="J60" s="186">
        <v>4830</v>
      </c>
      <c r="K60" s="32">
        <f t="shared" si="16"/>
        <v>3830</v>
      </c>
      <c r="L60" s="186" t="s">
        <v>724</v>
      </c>
      <c r="M60" s="187">
        <v>44440</v>
      </c>
      <c r="N60" s="188">
        <v>45139</v>
      </c>
      <c r="O60" s="181" t="s">
        <v>560</v>
      </c>
      <c r="P60" s="181" t="s">
        <v>42</v>
      </c>
      <c r="Q60" s="191"/>
      <c r="R60" s="192"/>
      <c r="S60" s="174">
        <f t="shared" si="17"/>
        <v>0</v>
      </c>
      <c r="T60" s="193">
        <f t="shared" si="18"/>
        <v>0</v>
      </c>
      <c r="U60" s="175">
        <f t="shared" si="36"/>
        <v>0</v>
      </c>
      <c r="V60" s="175">
        <f t="shared" si="37"/>
        <v>0</v>
      </c>
      <c r="W60" s="175">
        <f t="shared" si="20"/>
        <v>12</v>
      </c>
      <c r="X60" s="175">
        <f t="shared" si="21"/>
        <v>6.5</v>
      </c>
      <c r="Y60" s="195">
        <f t="shared" si="22"/>
        <v>0.542</v>
      </c>
      <c r="Z60" s="195">
        <f t="shared" si="23"/>
        <v>1.532</v>
      </c>
      <c r="AA60" s="195">
        <f t="shared" si="24"/>
        <v>0.99</v>
      </c>
      <c r="AB60" s="194"/>
      <c r="AC60" s="196">
        <f t="shared" si="25"/>
        <v>0.966</v>
      </c>
    </row>
    <row r="61" s="174" customFormat="1" ht="14.15" hidden="1" customHeight="1" spans="1:29">
      <c r="A61" s="181">
        <v>71</v>
      </c>
      <c r="B61" s="181" t="s">
        <v>725</v>
      </c>
      <c r="C61" s="181" t="s">
        <v>558</v>
      </c>
      <c r="D61" s="181" t="s">
        <v>726</v>
      </c>
      <c r="E61" s="182">
        <v>4150</v>
      </c>
      <c r="F61" s="182">
        <v>1200</v>
      </c>
      <c r="G61" s="182">
        <v>1000</v>
      </c>
      <c r="H61" s="182">
        <v>1950</v>
      </c>
      <c r="I61" s="185" t="str">
        <f t="shared" si="15"/>
        <v>在建</v>
      </c>
      <c r="J61" s="186">
        <v>3950</v>
      </c>
      <c r="K61" s="32">
        <f t="shared" si="16"/>
        <v>2750</v>
      </c>
      <c r="L61" s="186" t="s">
        <v>727</v>
      </c>
      <c r="M61" s="187">
        <v>44256</v>
      </c>
      <c r="N61" s="188">
        <v>45139</v>
      </c>
      <c r="O61" s="181" t="s">
        <v>560</v>
      </c>
      <c r="P61" s="181" t="s">
        <v>42</v>
      </c>
      <c r="Q61" s="191"/>
      <c r="R61" s="192"/>
      <c r="S61" s="174">
        <f t="shared" si="17"/>
        <v>0</v>
      </c>
      <c r="T61" s="193">
        <f t="shared" si="18"/>
        <v>0</v>
      </c>
      <c r="U61" s="175">
        <f t="shared" si="36"/>
        <v>0</v>
      </c>
      <c r="V61" s="175">
        <f t="shared" si="37"/>
        <v>0</v>
      </c>
      <c r="W61" s="175">
        <f t="shared" si="20"/>
        <v>12</v>
      </c>
      <c r="X61" s="175">
        <f t="shared" si="21"/>
        <v>6.5</v>
      </c>
      <c r="Y61" s="195">
        <f t="shared" si="22"/>
        <v>0.542</v>
      </c>
      <c r="Z61" s="195">
        <f t="shared" si="23"/>
        <v>2.75</v>
      </c>
      <c r="AA61" s="195">
        <f t="shared" si="24"/>
        <v>2.208</v>
      </c>
      <c r="AB61" s="194"/>
      <c r="AC61" s="196">
        <f t="shared" si="25"/>
        <v>0.952</v>
      </c>
    </row>
    <row r="62" s="174" customFormat="1" ht="14.15" hidden="1" customHeight="1" spans="1:29">
      <c r="A62" s="181">
        <v>72</v>
      </c>
      <c r="B62" s="181" t="s">
        <v>728</v>
      </c>
      <c r="C62" s="181" t="s">
        <v>558</v>
      </c>
      <c r="D62" s="181" t="s">
        <v>729</v>
      </c>
      <c r="E62" s="182">
        <v>226849</v>
      </c>
      <c r="F62" s="182">
        <v>74709</v>
      </c>
      <c r="G62" s="182">
        <v>122140</v>
      </c>
      <c r="H62" s="182">
        <v>30000</v>
      </c>
      <c r="I62" s="185" t="str">
        <f t="shared" si="15"/>
        <v>在建</v>
      </c>
      <c r="J62" s="186">
        <v>205154</v>
      </c>
      <c r="K62" s="32">
        <f t="shared" si="16"/>
        <v>130445</v>
      </c>
      <c r="L62" s="186" t="s">
        <v>724</v>
      </c>
      <c r="M62" s="187">
        <v>44287</v>
      </c>
      <c r="N62" s="188">
        <v>45139</v>
      </c>
      <c r="O62" s="181" t="s">
        <v>560</v>
      </c>
      <c r="P62" s="181" t="s">
        <v>42</v>
      </c>
      <c r="Q62" s="191"/>
      <c r="R62" s="192"/>
      <c r="S62" s="174">
        <f t="shared" si="17"/>
        <v>0</v>
      </c>
      <c r="T62" s="193">
        <f t="shared" si="18"/>
        <v>0</v>
      </c>
      <c r="U62" s="175">
        <f t="shared" si="36"/>
        <v>0</v>
      </c>
      <c r="V62" s="175">
        <f t="shared" si="37"/>
        <v>0</v>
      </c>
      <c r="W62" s="175">
        <f t="shared" si="20"/>
        <v>12</v>
      </c>
      <c r="X62" s="175">
        <f t="shared" si="21"/>
        <v>6.5</v>
      </c>
      <c r="Y62" s="195">
        <f t="shared" si="22"/>
        <v>0.542</v>
      </c>
      <c r="Z62" s="195">
        <f t="shared" si="23"/>
        <v>1.068</v>
      </c>
      <c r="AA62" s="195">
        <f t="shared" si="24"/>
        <v>0.526</v>
      </c>
      <c r="AB62" s="194"/>
      <c r="AC62" s="196">
        <f t="shared" si="25"/>
        <v>0.904</v>
      </c>
    </row>
    <row r="63" s="174" customFormat="1" ht="14.15" hidden="1" customHeight="1" spans="1:29">
      <c r="A63" s="181">
        <v>73</v>
      </c>
      <c r="B63" s="181" t="s">
        <v>730</v>
      </c>
      <c r="C63" s="181" t="s">
        <v>558</v>
      </c>
      <c r="D63" s="181" t="s">
        <v>731</v>
      </c>
      <c r="E63" s="182">
        <v>4000</v>
      </c>
      <c r="F63" s="182">
        <v>0</v>
      </c>
      <c r="G63" s="182">
        <v>2000</v>
      </c>
      <c r="H63" s="182">
        <v>2000</v>
      </c>
      <c r="I63" s="185" t="str">
        <f t="shared" si="15"/>
        <v>在建</v>
      </c>
      <c r="J63" s="186">
        <v>3885</v>
      </c>
      <c r="K63" s="32">
        <f t="shared" si="16"/>
        <v>3885</v>
      </c>
      <c r="L63" s="186" t="s">
        <v>727</v>
      </c>
      <c r="M63" s="187">
        <v>44593</v>
      </c>
      <c r="N63" s="188">
        <v>44986</v>
      </c>
      <c r="O63" s="181" t="s">
        <v>560</v>
      </c>
      <c r="P63" s="181" t="s">
        <v>42</v>
      </c>
      <c r="Q63" s="191"/>
      <c r="R63" s="192"/>
      <c r="S63" s="174">
        <f t="shared" si="17"/>
        <v>0</v>
      </c>
      <c r="T63" s="193">
        <f t="shared" si="18"/>
        <v>0</v>
      </c>
      <c r="U63" s="175">
        <f>IF(I63="完工"," ",1)</f>
        <v>1</v>
      </c>
      <c r="V63" s="175">
        <f t="shared" si="37"/>
        <v>0</v>
      </c>
      <c r="W63" s="175">
        <f t="shared" si="20"/>
        <v>11</v>
      </c>
      <c r="X63" s="175">
        <f t="shared" si="21"/>
        <v>5.5</v>
      </c>
      <c r="Y63" s="195">
        <f t="shared" si="22"/>
        <v>0.5</v>
      </c>
      <c r="Z63" s="195">
        <f t="shared" si="23"/>
        <v>1.943</v>
      </c>
      <c r="AA63" s="195">
        <f t="shared" si="24"/>
        <v>1.443</v>
      </c>
      <c r="AB63" s="194"/>
      <c r="AC63" s="196">
        <f t="shared" si="25"/>
        <v>0.971</v>
      </c>
    </row>
    <row r="64" s="174" customFormat="1" ht="14.15" hidden="1" customHeight="1" spans="1:29">
      <c r="A64" s="181">
        <v>74</v>
      </c>
      <c r="B64" s="181" t="s">
        <v>732</v>
      </c>
      <c r="C64" s="181" t="s">
        <v>558</v>
      </c>
      <c r="D64" s="181" t="s">
        <v>733</v>
      </c>
      <c r="E64" s="182">
        <v>3500</v>
      </c>
      <c r="F64" s="182">
        <v>0</v>
      </c>
      <c r="G64" s="182">
        <v>2000</v>
      </c>
      <c r="H64" s="182">
        <v>1500</v>
      </c>
      <c r="I64" s="185" t="str">
        <f t="shared" si="15"/>
        <v>完工</v>
      </c>
      <c r="J64" s="186">
        <v>3500</v>
      </c>
      <c r="K64" s="32">
        <f t="shared" si="16"/>
        <v>3500</v>
      </c>
      <c r="L64" s="186" t="s">
        <v>625</v>
      </c>
      <c r="M64" s="187">
        <v>44593</v>
      </c>
      <c r="N64" s="188">
        <v>45139</v>
      </c>
      <c r="O64" s="181" t="s">
        <v>560</v>
      </c>
      <c r="P64" s="181" t="s">
        <v>42</v>
      </c>
      <c r="Q64" s="191"/>
      <c r="R64" s="192"/>
      <c r="S64" s="174">
        <f t="shared" si="17"/>
        <v>0</v>
      </c>
      <c r="T64" s="193" t="str">
        <f t="shared" si="18"/>
        <v/>
      </c>
      <c r="U64" s="175" t="str">
        <f>IF(I64="完工"," ",1)</f>
        <v> </v>
      </c>
      <c r="V64" s="175" t="str">
        <f t="shared" si="37"/>
        <v> </v>
      </c>
      <c r="W64" s="175" t="str">
        <f t="shared" si="20"/>
        <v/>
      </c>
      <c r="X64" s="175" t="str">
        <f t="shared" si="21"/>
        <v/>
      </c>
      <c r="Y64" s="195" t="str">
        <f t="shared" si="22"/>
        <v/>
      </c>
      <c r="Z64" s="195" t="str">
        <f t="shared" si="23"/>
        <v/>
      </c>
      <c r="AA64" s="195" t="str">
        <f t="shared" si="24"/>
        <v/>
      </c>
      <c r="AB64" s="194"/>
      <c r="AC64" s="196" t="str">
        <f t="shared" si="25"/>
        <v/>
      </c>
    </row>
    <row r="65" s="174" customFormat="1" ht="14.15" hidden="1" customHeight="1" spans="1:29">
      <c r="A65" s="181">
        <v>75</v>
      </c>
      <c r="B65" s="181" t="s">
        <v>734</v>
      </c>
      <c r="C65" s="181" t="s">
        <v>558</v>
      </c>
      <c r="D65" s="181" t="s">
        <v>735</v>
      </c>
      <c r="E65" s="182">
        <v>35632</v>
      </c>
      <c r="F65" s="182">
        <v>15382</v>
      </c>
      <c r="G65" s="182">
        <v>16000</v>
      </c>
      <c r="H65" s="182">
        <v>4250</v>
      </c>
      <c r="I65" s="185" t="str">
        <f t="shared" si="15"/>
        <v>在建</v>
      </c>
      <c r="J65" s="186">
        <v>32607</v>
      </c>
      <c r="K65" s="32">
        <f t="shared" si="16"/>
        <v>17225</v>
      </c>
      <c r="L65" s="186" t="s">
        <v>736</v>
      </c>
      <c r="M65" s="187">
        <v>44256</v>
      </c>
      <c r="N65" s="188">
        <v>45139</v>
      </c>
      <c r="O65" s="181" t="s">
        <v>560</v>
      </c>
      <c r="P65" s="181" t="s">
        <v>42</v>
      </c>
      <c r="Q65" s="191"/>
      <c r="R65" s="192"/>
      <c r="S65" s="174">
        <f t="shared" ref="S65:S128" si="38">E65-F65-G65-H65</f>
        <v>0</v>
      </c>
      <c r="T65" s="193">
        <f t="shared" si="18"/>
        <v>0</v>
      </c>
      <c r="U65" s="175">
        <f t="shared" ref="U65:U66" si="39">IF(I65="完工"," ",0)</f>
        <v>0</v>
      </c>
      <c r="V65" s="175">
        <f t="shared" si="37"/>
        <v>0</v>
      </c>
      <c r="W65" s="175">
        <f t="shared" si="20"/>
        <v>12</v>
      </c>
      <c r="X65" s="175">
        <f t="shared" si="21"/>
        <v>6.5</v>
      </c>
      <c r="Y65" s="195">
        <f t="shared" si="22"/>
        <v>0.542</v>
      </c>
      <c r="Z65" s="195">
        <f t="shared" si="23"/>
        <v>1.077</v>
      </c>
      <c r="AA65" s="195">
        <f t="shared" si="24"/>
        <v>0.535</v>
      </c>
      <c r="AB65" s="194"/>
      <c r="AC65" s="196">
        <f t="shared" si="25"/>
        <v>0.915</v>
      </c>
    </row>
    <row r="66" s="174" customFormat="1" ht="14.15" hidden="1" customHeight="1" spans="1:29">
      <c r="A66" s="181">
        <v>76</v>
      </c>
      <c r="B66" s="181" t="s">
        <v>737</v>
      </c>
      <c r="C66" s="181" t="s">
        <v>558</v>
      </c>
      <c r="D66" s="181" t="s">
        <v>738</v>
      </c>
      <c r="E66" s="182">
        <v>12381.95</v>
      </c>
      <c r="F66" s="182">
        <v>0</v>
      </c>
      <c r="G66" s="182">
        <v>6200</v>
      </c>
      <c r="H66" s="182">
        <v>6181.95</v>
      </c>
      <c r="I66" s="185" t="str">
        <f t="shared" ref="I66:I129" si="40">IF(E66=0,"完工",IF(J66&gt;0,IF(J66=E66,"完工","在建"),"未开工"))</f>
        <v>在建</v>
      </c>
      <c r="J66" s="186">
        <v>10965</v>
      </c>
      <c r="K66" s="32">
        <f t="shared" ref="K66:K129" si="41">IF(G66=0,"",J66-F66)</f>
        <v>10965</v>
      </c>
      <c r="L66" s="186" t="s">
        <v>727</v>
      </c>
      <c r="M66" s="187">
        <v>44440</v>
      </c>
      <c r="N66" s="188">
        <v>45139</v>
      </c>
      <c r="O66" s="181" t="s">
        <v>560</v>
      </c>
      <c r="P66" s="181" t="s">
        <v>42</v>
      </c>
      <c r="Q66" s="191"/>
      <c r="R66" s="192"/>
      <c r="S66" s="174">
        <f t="shared" si="38"/>
        <v>0</v>
      </c>
      <c r="T66" s="193">
        <f t="shared" ref="T66:T129" si="42">IF(I66="完工","",J66-F66-K66)</f>
        <v>0</v>
      </c>
      <c r="U66" s="175">
        <f t="shared" si="39"/>
        <v>0</v>
      </c>
      <c r="V66" s="175">
        <f t="shared" si="37"/>
        <v>0</v>
      </c>
      <c r="W66" s="175">
        <f t="shared" ref="W66:W129" si="43">IF(I66="完工","",12-U66-V66)</f>
        <v>12</v>
      </c>
      <c r="X66" s="175">
        <f t="shared" ref="X66:X129" si="44">IF(I66="完工","",$AB$2-U66)</f>
        <v>6.5</v>
      </c>
      <c r="Y66" s="195">
        <f t="shared" ref="Y66:Y129" si="45">IF(I66="完工","",ROUND(X66/W66,3))</f>
        <v>0.542</v>
      </c>
      <c r="Z66" s="195">
        <f t="shared" ref="Z66:Z129" si="46">IF(I66="完工","",ROUND(K66/G66,3))</f>
        <v>1.769</v>
      </c>
      <c r="AA66" s="195">
        <f t="shared" ref="AA66:AA129" si="47">IF(I66="完工","",Z66-Y66)</f>
        <v>1.227</v>
      </c>
      <c r="AB66" s="194"/>
      <c r="AC66" s="196">
        <f t="shared" ref="AC66:AC129" si="48">IF(E66=0,"",IF(ROUND(J66/E66,3)=1,"",ROUND(J66/E66,3)))</f>
        <v>0.886</v>
      </c>
    </row>
    <row r="67" s="174" customFormat="1" ht="14.15" hidden="1" customHeight="1" spans="1:29">
      <c r="A67" s="181">
        <v>77</v>
      </c>
      <c r="B67" s="181" t="s">
        <v>739</v>
      </c>
      <c r="C67" s="181" t="s">
        <v>558</v>
      </c>
      <c r="D67" s="181" t="s">
        <v>740</v>
      </c>
      <c r="E67" s="182">
        <v>11898.04</v>
      </c>
      <c r="F67" s="182">
        <v>0</v>
      </c>
      <c r="G67" s="182">
        <v>6000</v>
      </c>
      <c r="H67" s="182">
        <v>5898.04</v>
      </c>
      <c r="I67" s="185" t="str">
        <f t="shared" si="40"/>
        <v>在建</v>
      </c>
      <c r="J67" s="186">
        <v>11237</v>
      </c>
      <c r="K67" s="32">
        <f t="shared" si="41"/>
        <v>11237</v>
      </c>
      <c r="L67" s="186" t="s">
        <v>727</v>
      </c>
      <c r="M67" s="187">
        <v>44621</v>
      </c>
      <c r="N67" s="188">
        <v>45139</v>
      </c>
      <c r="O67" s="181" t="s">
        <v>560</v>
      </c>
      <c r="P67" s="181" t="s">
        <v>42</v>
      </c>
      <c r="Q67" s="191"/>
      <c r="R67" s="192"/>
      <c r="S67" s="174">
        <f t="shared" si="38"/>
        <v>0</v>
      </c>
      <c r="T67" s="193">
        <f t="shared" si="42"/>
        <v>0</v>
      </c>
      <c r="U67" s="175">
        <f>IF(I67="完工"," ",2)</f>
        <v>2</v>
      </c>
      <c r="V67" s="175">
        <f t="shared" si="37"/>
        <v>0</v>
      </c>
      <c r="W67" s="175">
        <f t="shared" si="43"/>
        <v>10</v>
      </c>
      <c r="X67" s="175">
        <f t="shared" si="44"/>
        <v>4.5</v>
      </c>
      <c r="Y67" s="195">
        <f t="shared" si="45"/>
        <v>0.45</v>
      </c>
      <c r="Z67" s="195">
        <f t="shared" si="46"/>
        <v>1.873</v>
      </c>
      <c r="AA67" s="195">
        <f t="shared" si="47"/>
        <v>1.423</v>
      </c>
      <c r="AB67" s="194"/>
      <c r="AC67" s="196">
        <f t="shared" si="48"/>
        <v>0.944</v>
      </c>
    </row>
    <row r="68" s="174" customFormat="1" ht="14.15" hidden="1" customHeight="1" spans="1:29">
      <c r="A68" s="181">
        <v>78</v>
      </c>
      <c r="B68" s="181" t="s">
        <v>741</v>
      </c>
      <c r="C68" s="181" t="s">
        <v>558</v>
      </c>
      <c r="D68" s="181" t="s">
        <v>742</v>
      </c>
      <c r="E68" s="182">
        <v>22028</v>
      </c>
      <c r="F68" s="182">
        <v>4500</v>
      </c>
      <c r="G68" s="182">
        <v>11000</v>
      </c>
      <c r="H68" s="182">
        <v>6528</v>
      </c>
      <c r="I68" s="185" t="str">
        <f t="shared" si="40"/>
        <v>在建</v>
      </c>
      <c r="J68" s="186">
        <v>20785</v>
      </c>
      <c r="K68" s="32">
        <f t="shared" si="41"/>
        <v>16285</v>
      </c>
      <c r="L68" s="186" t="s">
        <v>736</v>
      </c>
      <c r="M68" s="187">
        <v>44531</v>
      </c>
      <c r="N68" s="188">
        <v>45139</v>
      </c>
      <c r="O68" s="181" t="s">
        <v>560</v>
      </c>
      <c r="P68" s="181" t="s">
        <v>42</v>
      </c>
      <c r="Q68" s="191"/>
      <c r="R68" s="192"/>
      <c r="S68" s="174">
        <f t="shared" si="38"/>
        <v>0</v>
      </c>
      <c r="T68" s="193">
        <f t="shared" si="42"/>
        <v>0</v>
      </c>
      <c r="U68" s="175">
        <f t="shared" ref="U68" si="49">IF(I68="完工"," ",0)</f>
        <v>0</v>
      </c>
      <c r="V68" s="175">
        <f t="shared" si="37"/>
        <v>0</v>
      </c>
      <c r="W68" s="175">
        <f t="shared" si="43"/>
        <v>12</v>
      </c>
      <c r="X68" s="175">
        <f t="shared" si="44"/>
        <v>6.5</v>
      </c>
      <c r="Y68" s="195">
        <f t="shared" si="45"/>
        <v>0.542</v>
      </c>
      <c r="Z68" s="195">
        <f t="shared" si="46"/>
        <v>1.48</v>
      </c>
      <c r="AA68" s="195">
        <f t="shared" si="47"/>
        <v>0.938</v>
      </c>
      <c r="AB68" s="194"/>
      <c r="AC68" s="196">
        <f t="shared" si="48"/>
        <v>0.944</v>
      </c>
    </row>
    <row r="69" s="174" customFormat="1" ht="14.15" hidden="1" customHeight="1" spans="1:29">
      <c r="A69" s="181">
        <v>79</v>
      </c>
      <c r="B69" s="181" t="s">
        <v>743</v>
      </c>
      <c r="C69" s="181" t="s">
        <v>558</v>
      </c>
      <c r="D69" s="181" t="s">
        <v>744</v>
      </c>
      <c r="E69" s="182">
        <v>13064</v>
      </c>
      <c r="F69" s="182">
        <v>10000</v>
      </c>
      <c r="G69" s="182">
        <v>3064</v>
      </c>
      <c r="H69" s="182">
        <v>0</v>
      </c>
      <c r="I69" s="185" t="str">
        <f t="shared" si="40"/>
        <v>在建</v>
      </c>
      <c r="J69" s="186">
        <v>11210</v>
      </c>
      <c r="K69" s="32">
        <f t="shared" si="41"/>
        <v>1210</v>
      </c>
      <c r="L69" s="186" t="s">
        <v>675</v>
      </c>
      <c r="M69" s="187">
        <v>44713</v>
      </c>
      <c r="N69" s="188">
        <v>45139</v>
      </c>
      <c r="O69" s="181" t="s">
        <v>560</v>
      </c>
      <c r="P69" s="181" t="s">
        <v>42</v>
      </c>
      <c r="Q69" s="191"/>
      <c r="R69" s="192"/>
      <c r="S69" s="174">
        <f t="shared" si="38"/>
        <v>0</v>
      </c>
      <c r="T69" s="193">
        <f t="shared" si="42"/>
        <v>0</v>
      </c>
      <c r="U69" s="175">
        <f>IF(I69="完工"," ",2.7)</f>
        <v>2.7</v>
      </c>
      <c r="V69" s="175">
        <f t="shared" si="37"/>
        <v>0</v>
      </c>
      <c r="W69" s="175">
        <f t="shared" si="43"/>
        <v>9.3</v>
      </c>
      <c r="X69" s="175">
        <f t="shared" si="44"/>
        <v>3.8</v>
      </c>
      <c r="Y69" s="195">
        <f t="shared" si="45"/>
        <v>0.409</v>
      </c>
      <c r="Z69" s="195">
        <f t="shared" si="46"/>
        <v>0.395</v>
      </c>
      <c r="AA69" s="195">
        <f t="shared" si="47"/>
        <v>-0.014</v>
      </c>
      <c r="AB69" s="194"/>
      <c r="AC69" s="196">
        <f t="shared" si="48"/>
        <v>0.858</v>
      </c>
    </row>
    <row r="70" s="174" customFormat="1" ht="14.15" hidden="1" customHeight="1" spans="1:29">
      <c r="A70" s="181">
        <v>80</v>
      </c>
      <c r="B70" s="181" t="s">
        <v>745</v>
      </c>
      <c r="C70" s="181" t="s">
        <v>558</v>
      </c>
      <c r="D70" s="181" t="s">
        <v>746</v>
      </c>
      <c r="E70" s="182">
        <v>288</v>
      </c>
      <c r="F70" s="182">
        <v>108</v>
      </c>
      <c r="G70" s="182">
        <v>108</v>
      </c>
      <c r="H70" s="182">
        <v>72</v>
      </c>
      <c r="I70" s="185" t="str">
        <f t="shared" si="40"/>
        <v>在建</v>
      </c>
      <c r="J70" s="186">
        <v>216</v>
      </c>
      <c r="K70" s="32">
        <f t="shared" si="41"/>
        <v>108</v>
      </c>
      <c r="L70" s="186" t="s">
        <v>713</v>
      </c>
      <c r="M70" s="187">
        <v>44440</v>
      </c>
      <c r="N70" s="188">
        <v>45078</v>
      </c>
      <c r="O70" s="181" t="s">
        <v>560</v>
      </c>
      <c r="P70" s="181" t="s">
        <v>42</v>
      </c>
      <c r="Q70" s="191"/>
      <c r="R70" s="192"/>
      <c r="S70" s="174">
        <f t="shared" si="38"/>
        <v>0</v>
      </c>
      <c r="T70" s="193">
        <f t="shared" si="42"/>
        <v>0</v>
      </c>
      <c r="U70" s="175">
        <f t="shared" ref="U70" si="50">IF(I70="完工"," ",0)</f>
        <v>0</v>
      </c>
      <c r="V70" s="175">
        <f t="shared" si="37"/>
        <v>0</v>
      </c>
      <c r="W70" s="175">
        <f t="shared" si="43"/>
        <v>12</v>
      </c>
      <c r="X70" s="175">
        <f t="shared" si="44"/>
        <v>6.5</v>
      </c>
      <c r="Y70" s="195">
        <f t="shared" si="45"/>
        <v>0.542</v>
      </c>
      <c r="Z70" s="195">
        <f t="shared" si="46"/>
        <v>1</v>
      </c>
      <c r="AA70" s="195">
        <f t="shared" si="47"/>
        <v>0.458</v>
      </c>
      <c r="AB70" s="194"/>
      <c r="AC70" s="196">
        <f t="shared" si="48"/>
        <v>0.75</v>
      </c>
    </row>
    <row r="71" s="174" customFormat="1" ht="14.15" hidden="1" customHeight="1" spans="1:29">
      <c r="A71" s="181">
        <v>81</v>
      </c>
      <c r="B71" s="181" t="s">
        <v>747</v>
      </c>
      <c r="C71" s="181" t="s">
        <v>558</v>
      </c>
      <c r="D71" s="181" t="s">
        <v>748</v>
      </c>
      <c r="E71" s="182">
        <v>720</v>
      </c>
      <c r="F71" s="182">
        <v>0</v>
      </c>
      <c r="G71" s="182">
        <v>720</v>
      </c>
      <c r="H71" s="182">
        <v>0</v>
      </c>
      <c r="I71" s="185" t="str">
        <f t="shared" si="40"/>
        <v>完工</v>
      </c>
      <c r="J71" s="186">
        <v>720</v>
      </c>
      <c r="K71" s="32">
        <f t="shared" si="41"/>
        <v>720</v>
      </c>
      <c r="L71" s="186" t="s">
        <v>660</v>
      </c>
      <c r="M71" s="187">
        <v>44621</v>
      </c>
      <c r="N71" s="188">
        <v>44896</v>
      </c>
      <c r="O71" s="181" t="s">
        <v>560</v>
      </c>
      <c r="P71" s="181" t="s">
        <v>42</v>
      </c>
      <c r="Q71" s="191"/>
      <c r="R71" s="192"/>
      <c r="S71" s="174">
        <f t="shared" si="38"/>
        <v>0</v>
      </c>
      <c r="T71" s="193" t="str">
        <f t="shared" si="42"/>
        <v/>
      </c>
      <c r="U71" s="175" t="str">
        <f t="shared" ref="U71:U73" si="51">IF(I71="完工"," ",2)</f>
        <v> </v>
      </c>
      <c r="V71" s="175" t="str">
        <f t="shared" ref="V71:V72" si="52">IF(I71="完工","",0)</f>
        <v/>
      </c>
      <c r="W71" s="175" t="str">
        <f t="shared" si="43"/>
        <v/>
      </c>
      <c r="X71" s="175" t="str">
        <f t="shared" si="44"/>
        <v/>
      </c>
      <c r="Y71" s="195" t="str">
        <f t="shared" si="45"/>
        <v/>
      </c>
      <c r="Z71" s="195" t="str">
        <f t="shared" si="46"/>
        <v/>
      </c>
      <c r="AA71" s="195" t="str">
        <f t="shared" si="47"/>
        <v/>
      </c>
      <c r="AB71" s="194"/>
      <c r="AC71" s="196" t="str">
        <f t="shared" si="48"/>
        <v/>
      </c>
    </row>
    <row r="72" s="174" customFormat="1" ht="14.15" hidden="1" customHeight="1" spans="1:29">
      <c r="A72" s="181">
        <v>82</v>
      </c>
      <c r="B72" s="181" t="s">
        <v>749</v>
      </c>
      <c r="C72" s="181" t="s">
        <v>558</v>
      </c>
      <c r="D72" s="181" t="s">
        <v>750</v>
      </c>
      <c r="E72" s="182">
        <v>3331.628</v>
      </c>
      <c r="F72" s="182">
        <v>0</v>
      </c>
      <c r="G72" s="182">
        <v>3331.628</v>
      </c>
      <c r="H72" s="182">
        <v>0</v>
      </c>
      <c r="I72" s="185" t="str">
        <f t="shared" si="40"/>
        <v>完工</v>
      </c>
      <c r="J72" s="186">
        <v>3331.628</v>
      </c>
      <c r="K72" s="32">
        <f t="shared" si="41"/>
        <v>3331.628</v>
      </c>
      <c r="L72" s="186" t="s">
        <v>660</v>
      </c>
      <c r="M72" s="187">
        <v>44621</v>
      </c>
      <c r="N72" s="188">
        <v>44896</v>
      </c>
      <c r="O72" s="181" t="s">
        <v>560</v>
      </c>
      <c r="P72" s="181" t="s">
        <v>42</v>
      </c>
      <c r="Q72" s="191"/>
      <c r="R72" s="192"/>
      <c r="S72" s="174">
        <f t="shared" si="38"/>
        <v>0</v>
      </c>
      <c r="T72" s="193" t="str">
        <f t="shared" si="42"/>
        <v/>
      </c>
      <c r="U72" s="175" t="str">
        <f t="shared" si="51"/>
        <v> </v>
      </c>
      <c r="V72" s="175" t="str">
        <f t="shared" si="52"/>
        <v/>
      </c>
      <c r="W72" s="175" t="str">
        <f t="shared" si="43"/>
        <v/>
      </c>
      <c r="X72" s="175" t="str">
        <f t="shared" si="44"/>
        <v/>
      </c>
      <c r="Y72" s="195" t="str">
        <f t="shared" si="45"/>
        <v/>
      </c>
      <c r="Z72" s="195" t="str">
        <f t="shared" si="46"/>
        <v/>
      </c>
      <c r="AA72" s="195" t="str">
        <f t="shared" si="47"/>
        <v/>
      </c>
      <c r="AB72" s="194"/>
      <c r="AC72" s="196" t="str">
        <f t="shared" si="48"/>
        <v/>
      </c>
    </row>
    <row r="73" s="174" customFormat="1" ht="14.15" hidden="1" customHeight="1" spans="1:29">
      <c r="A73" s="181">
        <v>83</v>
      </c>
      <c r="B73" s="181" t="s">
        <v>751</v>
      </c>
      <c r="C73" s="181" t="s">
        <v>558</v>
      </c>
      <c r="D73" s="181" t="s">
        <v>752</v>
      </c>
      <c r="E73" s="182">
        <v>2000</v>
      </c>
      <c r="F73" s="182">
        <v>0</v>
      </c>
      <c r="G73" s="182">
        <v>500</v>
      </c>
      <c r="H73" s="182">
        <v>1500</v>
      </c>
      <c r="I73" s="185" t="str">
        <f t="shared" si="40"/>
        <v>完工</v>
      </c>
      <c r="J73" s="186">
        <v>2000</v>
      </c>
      <c r="K73" s="32">
        <f t="shared" si="41"/>
        <v>2000</v>
      </c>
      <c r="L73" s="186" t="s">
        <v>660</v>
      </c>
      <c r="M73" s="187">
        <v>44621</v>
      </c>
      <c r="N73" s="188">
        <v>45139</v>
      </c>
      <c r="O73" s="181" t="s">
        <v>560</v>
      </c>
      <c r="P73" s="181" t="s">
        <v>42</v>
      </c>
      <c r="Q73" s="191"/>
      <c r="R73" s="192"/>
      <c r="S73" s="174">
        <f t="shared" si="38"/>
        <v>0</v>
      </c>
      <c r="T73" s="193" t="str">
        <f t="shared" si="42"/>
        <v/>
      </c>
      <c r="U73" s="175" t="str">
        <f t="shared" si="51"/>
        <v> </v>
      </c>
      <c r="V73" s="175" t="str">
        <f>IF(I73="完工"," ",0)</f>
        <v> </v>
      </c>
      <c r="W73" s="175" t="str">
        <f t="shared" si="43"/>
        <v/>
      </c>
      <c r="X73" s="175" t="str">
        <f t="shared" si="44"/>
        <v/>
      </c>
      <c r="Y73" s="195" t="str">
        <f t="shared" si="45"/>
        <v/>
      </c>
      <c r="Z73" s="195" t="str">
        <f t="shared" si="46"/>
        <v/>
      </c>
      <c r="AA73" s="195" t="str">
        <f t="shared" si="47"/>
        <v/>
      </c>
      <c r="AB73" s="194"/>
      <c r="AC73" s="196" t="str">
        <f t="shared" si="48"/>
        <v/>
      </c>
    </row>
    <row r="74" s="174" customFormat="1" ht="14.15" hidden="1" customHeight="1" spans="1:29">
      <c r="A74" s="181">
        <v>84</v>
      </c>
      <c r="B74" s="181" t="s">
        <v>753</v>
      </c>
      <c r="C74" s="181" t="s">
        <v>558</v>
      </c>
      <c r="D74" s="181" t="s">
        <v>754</v>
      </c>
      <c r="E74" s="182">
        <v>350</v>
      </c>
      <c r="F74" s="182">
        <v>350</v>
      </c>
      <c r="G74" s="182">
        <v>0</v>
      </c>
      <c r="H74" s="182">
        <v>0</v>
      </c>
      <c r="I74" s="185" t="str">
        <f t="shared" si="40"/>
        <v>完工</v>
      </c>
      <c r="J74" s="186">
        <v>350</v>
      </c>
      <c r="K74" s="32" t="str">
        <f t="shared" si="41"/>
        <v/>
      </c>
      <c r="L74" s="186" t="s">
        <v>660</v>
      </c>
      <c r="M74" s="187">
        <v>44440</v>
      </c>
      <c r="N74" s="188">
        <v>44531</v>
      </c>
      <c r="O74" s="181" t="s">
        <v>560</v>
      </c>
      <c r="P74" s="181" t="s">
        <v>42</v>
      </c>
      <c r="Q74" s="191"/>
      <c r="R74" s="192"/>
      <c r="S74" s="174">
        <f t="shared" si="38"/>
        <v>0</v>
      </c>
      <c r="T74" s="193" t="str">
        <f t="shared" si="42"/>
        <v/>
      </c>
      <c r="U74" s="175" t="str">
        <f t="shared" ref="U74:U96" si="53">IF(I74="完工"," ",0)</f>
        <v> </v>
      </c>
      <c r="V74" s="175" t="str">
        <f>IF(I74="完工"," ",12)</f>
        <v> </v>
      </c>
      <c r="W74" s="175" t="str">
        <f t="shared" si="43"/>
        <v/>
      </c>
      <c r="X74" s="175" t="str">
        <f t="shared" si="44"/>
        <v/>
      </c>
      <c r="Y74" s="195" t="str">
        <f t="shared" si="45"/>
        <v/>
      </c>
      <c r="Z74" s="195" t="str">
        <f t="shared" si="46"/>
        <v/>
      </c>
      <c r="AA74" s="195" t="str">
        <f t="shared" si="47"/>
        <v/>
      </c>
      <c r="AB74" s="194"/>
      <c r="AC74" s="196" t="str">
        <f t="shared" si="48"/>
        <v/>
      </c>
    </row>
    <row r="75" s="174" customFormat="1" ht="14.15" hidden="1" customHeight="1" spans="1:29">
      <c r="A75" s="181">
        <v>85</v>
      </c>
      <c r="B75" s="181" t="s">
        <v>755</v>
      </c>
      <c r="C75" s="181" t="s">
        <v>558</v>
      </c>
      <c r="D75" s="181" t="s">
        <v>756</v>
      </c>
      <c r="E75" s="182">
        <v>10000</v>
      </c>
      <c r="F75" s="182">
        <v>9000</v>
      </c>
      <c r="G75" s="182">
        <v>1000</v>
      </c>
      <c r="H75" s="182">
        <v>0</v>
      </c>
      <c r="I75" s="185" t="str">
        <f t="shared" si="40"/>
        <v>在建</v>
      </c>
      <c r="J75" s="186">
        <v>9150</v>
      </c>
      <c r="K75" s="32">
        <f t="shared" si="41"/>
        <v>150</v>
      </c>
      <c r="L75" s="186" t="s">
        <v>757</v>
      </c>
      <c r="M75" s="187">
        <v>44228</v>
      </c>
      <c r="N75" s="188">
        <v>44835</v>
      </c>
      <c r="O75" s="181" t="s">
        <v>560</v>
      </c>
      <c r="P75" s="181" t="s">
        <v>140</v>
      </c>
      <c r="Q75" s="191"/>
      <c r="R75" s="192"/>
      <c r="S75" s="174">
        <f t="shared" si="38"/>
        <v>0</v>
      </c>
      <c r="T75" s="193">
        <f t="shared" si="42"/>
        <v>0</v>
      </c>
      <c r="U75" s="175">
        <f t="shared" si="53"/>
        <v>0</v>
      </c>
      <c r="V75" s="175">
        <f>IF(I75="完工"," ",2)</f>
        <v>2</v>
      </c>
      <c r="W75" s="175">
        <f t="shared" si="43"/>
        <v>10</v>
      </c>
      <c r="X75" s="175">
        <f t="shared" si="44"/>
        <v>6.5</v>
      </c>
      <c r="Y75" s="195">
        <f t="shared" si="45"/>
        <v>0.65</v>
      </c>
      <c r="Z75" s="195">
        <f t="shared" si="46"/>
        <v>0.15</v>
      </c>
      <c r="AA75" s="195">
        <f t="shared" si="47"/>
        <v>-0.5</v>
      </c>
      <c r="AB75" s="194"/>
      <c r="AC75" s="196">
        <f t="shared" si="48"/>
        <v>0.915</v>
      </c>
    </row>
    <row r="76" s="174" customFormat="1" ht="14.15" hidden="1" customHeight="1" spans="1:29">
      <c r="A76" s="181">
        <v>86</v>
      </c>
      <c r="B76" s="181" t="s">
        <v>758</v>
      </c>
      <c r="C76" s="181" t="s">
        <v>558</v>
      </c>
      <c r="D76" s="181" t="s">
        <v>759</v>
      </c>
      <c r="E76" s="182">
        <v>3531</v>
      </c>
      <c r="F76" s="182">
        <v>0</v>
      </c>
      <c r="G76" s="182">
        <v>3531</v>
      </c>
      <c r="H76" s="182">
        <v>0</v>
      </c>
      <c r="I76" s="185" t="str">
        <f t="shared" si="40"/>
        <v>完工</v>
      </c>
      <c r="J76" s="186">
        <v>3531</v>
      </c>
      <c r="K76" s="32">
        <f t="shared" si="41"/>
        <v>3531</v>
      </c>
      <c r="L76" s="186" t="s">
        <v>660</v>
      </c>
      <c r="M76" s="187">
        <v>44562</v>
      </c>
      <c r="N76" s="188">
        <v>44805</v>
      </c>
      <c r="O76" s="181" t="s">
        <v>560</v>
      </c>
      <c r="P76" s="181" t="s">
        <v>140</v>
      </c>
      <c r="Q76" s="191"/>
      <c r="R76" s="192"/>
      <c r="S76" s="174">
        <f t="shared" si="38"/>
        <v>0</v>
      </c>
      <c r="T76" s="193" t="str">
        <f t="shared" si="42"/>
        <v/>
      </c>
      <c r="U76" s="175" t="str">
        <f t="shared" si="53"/>
        <v> </v>
      </c>
      <c r="V76" s="175" t="str">
        <f>IF(I76="完工"," ",3)</f>
        <v> </v>
      </c>
      <c r="W76" s="175" t="str">
        <f t="shared" si="43"/>
        <v/>
      </c>
      <c r="X76" s="175" t="str">
        <f t="shared" si="44"/>
        <v/>
      </c>
      <c r="Y76" s="195" t="str">
        <f t="shared" si="45"/>
        <v/>
      </c>
      <c r="Z76" s="195" t="str">
        <f t="shared" si="46"/>
        <v/>
      </c>
      <c r="AA76" s="195" t="str">
        <f t="shared" si="47"/>
        <v/>
      </c>
      <c r="AB76" s="194"/>
      <c r="AC76" s="196" t="str">
        <f t="shared" si="48"/>
        <v/>
      </c>
    </row>
    <row r="77" s="174" customFormat="1" ht="14.15" hidden="1" customHeight="1" spans="1:29">
      <c r="A77" s="181">
        <v>87</v>
      </c>
      <c r="B77" s="181" t="s">
        <v>760</v>
      </c>
      <c r="C77" s="181" t="s">
        <v>558</v>
      </c>
      <c r="D77" s="181" t="s">
        <v>761</v>
      </c>
      <c r="E77" s="182">
        <v>1500</v>
      </c>
      <c r="F77" s="182">
        <v>1500</v>
      </c>
      <c r="G77" s="182">
        <v>0</v>
      </c>
      <c r="H77" s="182">
        <v>0</v>
      </c>
      <c r="I77" s="185" t="str">
        <f t="shared" si="40"/>
        <v>完工</v>
      </c>
      <c r="J77" s="186">
        <v>1500</v>
      </c>
      <c r="K77" s="32" t="str">
        <f t="shared" si="41"/>
        <v/>
      </c>
      <c r="L77" s="186" t="s">
        <v>660</v>
      </c>
      <c r="M77" s="187">
        <v>44470</v>
      </c>
      <c r="N77" s="188">
        <v>44531</v>
      </c>
      <c r="O77" s="181" t="s">
        <v>560</v>
      </c>
      <c r="P77" s="181" t="s">
        <v>140</v>
      </c>
      <c r="Q77" s="191"/>
      <c r="R77" s="192"/>
      <c r="S77" s="174">
        <f t="shared" si="38"/>
        <v>0</v>
      </c>
      <c r="T77" s="193" t="str">
        <f t="shared" si="42"/>
        <v/>
      </c>
      <c r="U77" s="175" t="str">
        <f t="shared" si="53"/>
        <v> </v>
      </c>
      <c r="V77" s="175" t="str">
        <f t="shared" ref="V77:V78" si="54">IF(I77="完工"," ",12)</f>
        <v> </v>
      </c>
      <c r="W77" s="175" t="str">
        <f t="shared" si="43"/>
        <v/>
      </c>
      <c r="X77" s="175" t="str">
        <f t="shared" si="44"/>
        <v/>
      </c>
      <c r="Y77" s="195" t="str">
        <f t="shared" si="45"/>
        <v/>
      </c>
      <c r="Z77" s="195" t="str">
        <f t="shared" si="46"/>
        <v/>
      </c>
      <c r="AA77" s="195" t="str">
        <f t="shared" si="47"/>
        <v/>
      </c>
      <c r="AB77" s="194"/>
      <c r="AC77" s="196" t="str">
        <f t="shared" si="48"/>
        <v/>
      </c>
    </row>
    <row r="78" s="174" customFormat="1" ht="14.15" hidden="1" customHeight="1" spans="1:29">
      <c r="A78" s="181">
        <v>88</v>
      </c>
      <c r="B78" s="181" t="s">
        <v>762</v>
      </c>
      <c r="C78" s="181" t="s">
        <v>558</v>
      </c>
      <c r="D78" s="181" t="s">
        <v>763</v>
      </c>
      <c r="E78" s="182">
        <v>3000</v>
      </c>
      <c r="F78" s="182">
        <v>3000</v>
      </c>
      <c r="G78" s="182">
        <v>0</v>
      </c>
      <c r="H78" s="182">
        <v>0</v>
      </c>
      <c r="I78" s="185" t="str">
        <f t="shared" si="40"/>
        <v>完工</v>
      </c>
      <c r="J78" s="186">
        <v>3000</v>
      </c>
      <c r="K78" s="32" t="str">
        <f t="shared" si="41"/>
        <v/>
      </c>
      <c r="L78" s="186" t="s">
        <v>660</v>
      </c>
      <c r="M78" s="187">
        <v>44317</v>
      </c>
      <c r="N78" s="188">
        <v>44531</v>
      </c>
      <c r="O78" s="181" t="s">
        <v>560</v>
      </c>
      <c r="P78" s="181" t="s">
        <v>140</v>
      </c>
      <c r="Q78" s="191"/>
      <c r="R78" s="192"/>
      <c r="S78" s="174">
        <f t="shared" si="38"/>
        <v>0</v>
      </c>
      <c r="T78" s="193" t="str">
        <f t="shared" si="42"/>
        <v/>
      </c>
      <c r="U78" s="175" t="str">
        <f t="shared" si="53"/>
        <v> </v>
      </c>
      <c r="V78" s="175" t="str">
        <f t="shared" si="54"/>
        <v> </v>
      </c>
      <c r="W78" s="175" t="str">
        <f t="shared" si="43"/>
        <v/>
      </c>
      <c r="X78" s="175" t="str">
        <f t="shared" si="44"/>
        <v/>
      </c>
      <c r="Y78" s="195" t="str">
        <f t="shared" si="45"/>
        <v/>
      </c>
      <c r="Z78" s="195" t="str">
        <f t="shared" si="46"/>
        <v/>
      </c>
      <c r="AA78" s="195" t="str">
        <f t="shared" si="47"/>
        <v/>
      </c>
      <c r="AB78" s="194"/>
      <c r="AC78" s="196" t="str">
        <f t="shared" si="48"/>
        <v/>
      </c>
    </row>
    <row r="79" s="174" customFormat="1" ht="14.15" hidden="1" customHeight="1" spans="1:29">
      <c r="A79" s="181">
        <v>89</v>
      </c>
      <c r="B79" s="181" t="s">
        <v>764</v>
      </c>
      <c r="C79" s="181" t="s">
        <v>558</v>
      </c>
      <c r="D79" s="181" t="s">
        <v>765</v>
      </c>
      <c r="E79" s="182">
        <v>19500</v>
      </c>
      <c r="F79" s="182">
        <v>13000</v>
      </c>
      <c r="G79" s="182">
        <v>6500</v>
      </c>
      <c r="H79" s="182">
        <v>0</v>
      </c>
      <c r="I79" s="185" t="str">
        <f t="shared" si="40"/>
        <v>完工</v>
      </c>
      <c r="J79" s="186">
        <v>19500</v>
      </c>
      <c r="K79" s="32">
        <f t="shared" si="41"/>
        <v>6500</v>
      </c>
      <c r="L79" s="186" t="s">
        <v>660</v>
      </c>
      <c r="M79" s="187">
        <v>44256</v>
      </c>
      <c r="N79" s="188">
        <v>44682</v>
      </c>
      <c r="O79" s="181" t="s">
        <v>560</v>
      </c>
      <c r="P79" s="181" t="s">
        <v>140</v>
      </c>
      <c r="Q79" s="191"/>
      <c r="R79" s="192"/>
      <c r="S79" s="174">
        <f t="shared" si="38"/>
        <v>0</v>
      </c>
      <c r="T79" s="193" t="str">
        <f t="shared" si="42"/>
        <v/>
      </c>
      <c r="U79" s="175" t="str">
        <f t="shared" si="53"/>
        <v> </v>
      </c>
      <c r="V79" s="175" t="str">
        <f>IF(I79="完工"," ",7)</f>
        <v> </v>
      </c>
      <c r="W79" s="175" t="str">
        <f t="shared" si="43"/>
        <v/>
      </c>
      <c r="X79" s="175" t="str">
        <f t="shared" si="44"/>
        <v/>
      </c>
      <c r="Y79" s="195" t="str">
        <f t="shared" si="45"/>
        <v/>
      </c>
      <c r="Z79" s="195" t="str">
        <f t="shared" si="46"/>
        <v/>
      </c>
      <c r="AA79" s="195" t="str">
        <f t="shared" si="47"/>
        <v/>
      </c>
      <c r="AB79" s="194"/>
      <c r="AC79" s="196" t="str">
        <f t="shared" si="48"/>
        <v/>
      </c>
    </row>
    <row r="80" s="174" customFormat="1" ht="14.15" hidden="1" customHeight="1" spans="1:29">
      <c r="A80" s="181">
        <v>90</v>
      </c>
      <c r="B80" s="181" t="s">
        <v>766</v>
      </c>
      <c r="C80" s="181" t="s">
        <v>223</v>
      </c>
      <c r="D80" s="181" t="s">
        <v>767</v>
      </c>
      <c r="E80" s="182">
        <v>0.08</v>
      </c>
      <c r="F80" s="182">
        <v>0.08</v>
      </c>
      <c r="G80" s="182">
        <v>0</v>
      </c>
      <c r="H80" s="182">
        <v>0</v>
      </c>
      <c r="I80" s="185" t="str">
        <f t="shared" si="40"/>
        <v>完工</v>
      </c>
      <c r="J80" s="186">
        <v>0.08</v>
      </c>
      <c r="K80" s="32" t="str">
        <f t="shared" si="41"/>
        <v/>
      </c>
      <c r="L80" s="186" t="s">
        <v>660</v>
      </c>
      <c r="M80" s="187">
        <v>44440</v>
      </c>
      <c r="N80" s="188">
        <v>44531</v>
      </c>
      <c r="O80" s="181" t="s">
        <v>225</v>
      </c>
      <c r="P80" s="181" t="s">
        <v>36</v>
      </c>
      <c r="Q80" s="191"/>
      <c r="R80" s="192"/>
      <c r="S80" s="174">
        <f t="shared" si="38"/>
        <v>0</v>
      </c>
      <c r="T80" s="193" t="str">
        <f t="shared" si="42"/>
        <v/>
      </c>
      <c r="U80" s="175" t="str">
        <f t="shared" si="53"/>
        <v> </v>
      </c>
      <c r="V80" s="175" t="str">
        <f t="shared" ref="V80:V90" si="55">IF(I80="完工"," ",12)</f>
        <v> </v>
      </c>
      <c r="W80" s="175" t="str">
        <f t="shared" si="43"/>
        <v/>
      </c>
      <c r="X80" s="175" t="str">
        <f t="shared" si="44"/>
        <v/>
      </c>
      <c r="Y80" s="195" t="str">
        <f t="shared" si="45"/>
        <v/>
      </c>
      <c r="Z80" s="195" t="str">
        <f t="shared" si="46"/>
        <v/>
      </c>
      <c r="AA80" s="195" t="str">
        <f t="shared" si="47"/>
        <v/>
      </c>
      <c r="AB80" s="194"/>
      <c r="AC80" s="196" t="str">
        <f t="shared" si="48"/>
        <v/>
      </c>
    </row>
    <row r="81" s="174" customFormat="1" ht="14.15" hidden="1" customHeight="1" spans="1:29">
      <c r="A81" s="181">
        <v>91</v>
      </c>
      <c r="B81" s="181" t="s">
        <v>768</v>
      </c>
      <c r="C81" s="181" t="s">
        <v>223</v>
      </c>
      <c r="D81" s="181" t="s">
        <v>769</v>
      </c>
      <c r="E81" s="182">
        <v>1.2</v>
      </c>
      <c r="F81" s="182">
        <v>1.2</v>
      </c>
      <c r="G81" s="182">
        <v>0</v>
      </c>
      <c r="H81" s="182">
        <v>0</v>
      </c>
      <c r="I81" s="185" t="str">
        <f t="shared" si="40"/>
        <v>完工</v>
      </c>
      <c r="J81" s="186">
        <v>1.2</v>
      </c>
      <c r="K81" s="32" t="str">
        <f t="shared" si="41"/>
        <v/>
      </c>
      <c r="L81" s="186" t="s">
        <v>660</v>
      </c>
      <c r="M81" s="187">
        <v>44440</v>
      </c>
      <c r="N81" s="188">
        <v>44531</v>
      </c>
      <c r="O81" s="181" t="s">
        <v>225</v>
      </c>
      <c r="P81" s="181" t="s">
        <v>36</v>
      </c>
      <c r="Q81" s="191"/>
      <c r="R81" s="192"/>
      <c r="S81" s="174">
        <f t="shared" si="38"/>
        <v>0</v>
      </c>
      <c r="T81" s="193" t="str">
        <f t="shared" si="42"/>
        <v/>
      </c>
      <c r="U81" s="175" t="str">
        <f t="shared" si="53"/>
        <v> </v>
      </c>
      <c r="V81" s="175" t="str">
        <f t="shared" si="55"/>
        <v> </v>
      </c>
      <c r="W81" s="175" t="str">
        <f t="shared" si="43"/>
        <v/>
      </c>
      <c r="X81" s="175" t="str">
        <f t="shared" si="44"/>
        <v/>
      </c>
      <c r="Y81" s="195" t="str">
        <f t="shared" si="45"/>
        <v/>
      </c>
      <c r="Z81" s="195" t="str">
        <f t="shared" si="46"/>
        <v/>
      </c>
      <c r="AA81" s="195" t="str">
        <f t="shared" si="47"/>
        <v/>
      </c>
      <c r="AB81" s="194"/>
      <c r="AC81" s="196" t="str">
        <f t="shared" si="48"/>
        <v/>
      </c>
    </row>
    <row r="82" s="174" customFormat="1" ht="14.15" hidden="1" customHeight="1" spans="1:29">
      <c r="A82" s="181">
        <v>92</v>
      </c>
      <c r="B82" s="181" t="s">
        <v>770</v>
      </c>
      <c r="C82" s="181" t="s">
        <v>223</v>
      </c>
      <c r="D82" s="181" t="s">
        <v>771</v>
      </c>
      <c r="E82" s="182">
        <v>0.15</v>
      </c>
      <c r="F82" s="182">
        <v>0.15</v>
      </c>
      <c r="G82" s="182">
        <v>0</v>
      </c>
      <c r="H82" s="182">
        <v>0</v>
      </c>
      <c r="I82" s="185" t="str">
        <f t="shared" si="40"/>
        <v>完工</v>
      </c>
      <c r="J82" s="186">
        <v>0.15</v>
      </c>
      <c r="K82" s="32" t="str">
        <f t="shared" si="41"/>
        <v/>
      </c>
      <c r="L82" s="186" t="s">
        <v>660</v>
      </c>
      <c r="M82" s="187">
        <v>44440</v>
      </c>
      <c r="N82" s="188">
        <v>44531</v>
      </c>
      <c r="O82" s="181" t="s">
        <v>225</v>
      </c>
      <c r="P82" s="181" t="s">
        <v>36</v>
      </c>
      <c r="Q82" s="191"/>
      <c r="R82" s="192"/>
      <c r="S82" s="174">
        <f t="shared" si="38"/>
        <v>0</v>
      </c>
      <c r="T82" s="193" t="str">
        <f t="shared" si="42"/>
        <v/>
      </c>
      <c r="U82" s="175" t="str">
        <f t="shared" si="53"/>
        <v> </v>
      </c>
      <c r="V82" s="175" t="str">
        <f t="shared" si="55"/>
        <v> </v>
      </c>
      <c r="W82" s="175" t="str">
        <f t="shared" si="43"/>
        <v/>
      </c>
      <c r="X82" s="175" t="str">
        <f t="shared" si="44"/>
        <v/>
      </c>
      <c r="Y82" s="195" t="str">
        <f t="shared" si="45"/>
        <v/>
      </c>
      <c r="Z82" s="195" t="str">
        <f t="shared" si="46"/>
        <v/>
      </c>
      <c r="AA82" s="195" t="str">
        <f t="shared" si="47"/>
        <v/>
      </c>
      <c r="AB82" s="194"/>
      <c r="AC82" s="196" t="str">
        <f t="shared" si="48"/>
        <v/>
      </c>
    </row>
    <row r="83" s="174" customFormat="1" ht="14.15" hidden="1" customHeight="1" spans="1:29">
      <c r="A83" s="181">
        <v>93</v>
      </c>
      <c r="B83" s="181" t="s">
        <v>772</v>
      </c>
      <c r="C83" s="181" t="s">
        <v>223</v>
      </c>
      <c r="D83" s="181" t="s">
        <v>773</v>
      </c>
      <c r="E83" s="182">
        <v>0.7</v>
      </c>
      <c r="F83" s="182">
        <v>0.7</v>
      </c>
      <c r="G83" s="182">
        <v>0</v>
      </c>
      <c r="H83" s="182">
        <v>0</v>
      </c>
      <c r="I83" s="185" t="str">
        <f t="shared" si="40"/>
        <v>完工</v>
      </c>
      <c r="J83" s="186">
        <v>0.7</v>
      </c>
      <c r="K83" s="32" t="str">
        <f t="shared" si="41"/>
        <v/>
      </c>
      <c r="L83" s="186" t="s">
        <v>660</v>
      </c>
      <c r="M83" s="187">
        <v>44440</v>
      </c>
      <c r="N83" s="188">
        <v>44531</v>
      </c>
      <c r="O83" s="181" t="s">
        <v>225</v>
      </c>
      <c r="P83" s="181" t="s">
        <v>36</v>
      </c>
      <c r="Q83" s="191"/>
      <c r="R83" s="192"/>
      <c r="S83" s="174">
        <f t="shared" si="38"/>
        <v>0</v>
      </c>
      <c r="T83" s="193" t="str">
        <f t="shared" si="42"/>
        <v/>
      </c>
      <c r="U83" s="175" t="str">
        <f t="shared" si="53"/>
        <v> </v>
      </c>
      <c r="V83" s="175" t="str">
        <f t="shared" si="55"/>
        <v> </v>
      </c>
      <c r="W83" s="175" t="str">
        <f t="shared" si="43"/>
        <v/>
      </c>
      <c r="X83" s="175" t="str">
        <f t="shared" si="44"/>
        <v/>
      </c>
      <c r="Y83" s="195" t="str">
        <f t="shared" si="45"/>
        <v/>
      </c>
      <c r="Z83" s="195" t="str">
        <f t="shared" si="46"/>
        <v/>
      </c>
      <c r="AA83" s="195" t="str">
        <f t="shared" si="47"/>
        <v/>
      </c>
      <c r="AB83" s="194"/>
      <c r="AC83" s="196" t="str">
        <f t="shared" si="48"/>
        <v/>
      </c>
    </row>
    <row r="84" s="174" customFormat="1" ht="14.15" hidden="1" customHeight="1" spans="1:29">
      <c r="A84" s="181">
        <v>94</v>
      </c>
      <c r="B84" s="181" t="s">
        <v>774</v>
      </c>
      <c r="C84" s="181" t="s">
        <v>223</v>
      </c>
      <c r="D84" s="181" t="s">
        <v>775</v>
      </c>
      <c r="E84" s="182">
        <v>0.8</v>
      </c>
      <c r="F84" s="182">
        <v>0.8</v>
      </c>
      <c r="G84" s="182">
        <v>0</v>
      </c>
      <c r="H84" s="182">
        <v>0</v>
      </c>
      <c r="I84" s="185" t="str">
        <f t="shared" si="40"/>
        <v>完工</v>
      </c>
      <c r="J84" s="186">
        <v>0.8</v>
      </c>
      <c r="K84" s="32" t="str">
        <f t="shared" si="41"/>
        <v/>
      </c>
      <c r="L84" s="186" t="s">
        <v>660</v>
      </c>
      <c r="M84" s="187">
        <v>44440</v>
      </c>
      <c r="N84" s="188">
        <v>44531</v>
      </c>
      <c r="O84" s="181" t="s">
        <v>225</v>
      </c>
      <c r="P84" s="181" t="s">
        <v>36</v>
      </c>
      <c r="Q84" s="191"/>
      <c r="R84" s="192"/>
      <c r="S84" s="174">
        <f t="shared" si="38"/>
        <v>0</v>
      </c>
      <c r="T84" s="193" t="str">
        <f t="shared" si="42"/>
        <v/>
      </c>
      <c r="U84" s="175" t="str">
        <f t="shared" si="53"/>
        <v> </v>
      </c>
      <c r="V84" s="175" t="str">
        <f t="shared" si="55"/>
        <v> </v>
      </c>
      <c r="W84" s="175" t="str">
        <f t="shared" si="43"/>
        <v/>
      </c>
      <c r="X84" s="175" t="str">
        <f t="shared" si="44"/>
        <v/>
      </c>
      <c r="Y84" s="195" t="str">
        <f t="shared" si="45"/>
        <v/>
      </c>
      <c r="Z84" s="195" t="str">
        <f t="shared" si="46"/>
        <v/>
      </c>
      <c r="AA84" s="195" t="str">
        <f t="shared" si="47"/>
        <v/>
      </c>
      <c r="AB84" s="194"/>
      <c r="AC84" s="196" t="str">
        <f t="shared" si="48"/>
        <v/>
      </c>
    </row>
    <row r="85" s="174" customFormat="1" ht="14.15" hidden="1" customHeight="1" spans="1:29">
      <c r="A85" s="181">
        <v>95</v>
      </c>
      <c r="B85" s="181" t="s">
        <v>776</v>
      </c>
      <c r="C85" s="181" t="s">
        <v>223</v>
      </c>
      <c r="D85" s="181" t="s">
        <v>777</v>
      </c>
      <c r="E85" s="182">
        <v>0.27</v>
      </c>
      <c r="F85" s="182">
        <v>0.27</v>
      </c>
      <c r="G85" s="182">
        <v>0</v>
      </c>
      <c r="H85" s="182">
        <v>0</v>
      </c>
      <c r="I85" s="185" t="str">
        <f t="shared" si="40"/>
        <v>完工</v>
      </c>
      <c r="J85" s="186">
        <v>0.27</v>
      </c>
      <c r="K85" s="32" t="str">
        <f t="shared" si="41"/>
        <v/>
      </c>
      <c r="L85" s="186" t="s">
        <v>660</v>
      </c>
      <c r="M85" s="187">
        <v>44440</v>
      </c>
      <c r="N85" s="188">
        <v>44531</v>
      </c>
      <c r="O85" s="181" t="s">
        <v>225</v>
      </c>
      <c r="P85" s="181" t="s">
        <v>36</v>
      </c>
      <c r="Q85" s="191"/>
      <c r="R85" s="192"/>
      <c r="S85" s="174">
        <f t="shared" si="38"/>
        <v>0</v>
      </c>
      <c r="T85" s="193" t="str">
        <f t="shared" si="42"/>
        <v/>
      </c>
      <c r="U85" s="175" t="str">
        <f t="shared" si="53"/>
        <v> </v>
      </c>
      <c r="V85" s="175" t="str">
        <f t="shared" si="55"/>
        <v> </v>
      </c>
      <c r="W85" s="175" t="str">
        <f t="shared" si="43"/>
        <v/>
      </c>
      <c r="X85" s="175" t="str">
        <f t="shared" si="44"/>
        <v/>
      </c>
      <c r="Y85" s="195" t="str">
        <f t="shared" si="45"/>
        <v/>
      </c>
      <c r="Z85" s="195" t="str">
        <f t="shared" si="46"/>
        <v/>
      </c>
      <c r="AA85" s="195" t="str">
        <f t="shared" si="47"/>
        <v/>
      </c>
      <c r="AB85" s="194"/>
      <c r="AC85" s="196" t="str">
        <f t="shared" si="48"/>
        <v/>
      </c>
    </row>
    <row r="86" s="174" customFormat="1" ht="14.15" hidden="1" customHeight="1" spans="1:29">
      <c r="A86" s="181">
        <v>96</v>
      </c>
      <c r="B86" s="181" t="s">
        <v>778</v>
      </c>
      <c r="C86" s="181" t="s">
        <v>223</v>
      </c>
      <c r="D86" s="181" t="s">
        <v>779</v>
      </c>
      <c r="E86" s="182">
        <v>0.72</v>
      </c>
      <c r="F86" s="182">
        <v>0.72</v>
      </c>
      <c r="G86" s="182">
        <v>0</v>
      </c>
      <c r="H86" s="182">
        <v>0</v>
      </c>
      <c r="I86" s="185" t="str">
        <f t="shared" si="40"/>
        <v>完工</v>
      </c>
      <c r="J86" s="186">
        <v>0.72</v>
      </c>
      <c r="K86" s="32" t="str">
        <f t="shared" si="41"/>
        <v/>
      </c>
      <c r="L86" s="186" t="s">
        <v>660</v>
      </c>
      <c r="M86" s="187">
        <v>44440</v>
      </c>
      <c r="N86" s="188">
        <v>44531</v>
      </c>
      <c r="O86" s="181" t="s">
        <v>225</v>
      </c>
      <c r="P86" s="181" t="s">
        <v>36</v>
      </c>
      <c r="Q86" s="191"/>
      <c r="R86" s="192"/>
      <c r="S86" s="174">
        <f t="shared" si="38"/>
        <v>0</v>
      </c>
      <c r="T86" s="193" t="str">
        <f t="shared" si="42"/>
        <v/>
      </c>
      <c r="U86" s="175" t="str">
        <f t="shared" si="53"/>
        <v> </v>
      </c>
      <c r="V86" s="175" t="str">
        <f t="shared" si="55"/>
        <v> </v>
      </c>
      <c r="W86" s="175" t="str">
        <f t="shared" si="43"/>
        <v/>
      </c>
      <c r="X86" s="175" t="str">
        <f t="shared" si="44"/>
        <v/>
      </c>
      <c r="Y86" s="195" t="str">
        <f t="shared" si="45"/>
        <v/>
      </c>
      <c r="Z86" s="195" t="str">
        <f t="shared" si="46"/>
        <v/>
      </c>
      <c r="AA86" s="195" t="str">
        <f t="shared" si="47"/>
        <v/>
      </c>
      <c r="AB86" s="194"/>
      <c r="AC86" s="196" t="str">
        <f t="shared" si="48"/>
        <v/>
      </c>
    </row>
    <row r="87" s="174" customFormat="1" ht="14.15" hidden="1" customHeight="1" spans="1:29">
      <c r="A87" s="181">
        <v>97</v>
      </c>
      <c r="B87" s="181" t="s">
        <v>780</v>
      </c>
      <c r="C87" s="181" t="s">
        <v>223</v>
      </c>
      <c r="D87" s="181" t="s">
        <v>781</v>
      </c>
      <c r="E87" s="182">
        <v>0.8</v>
      </c>
      <c r="F87" s="182">
        <v>0.8</v>
      </c>
      <c r="G87" s="182">
        <v>0</v>
      </c>
      <c r="H87" s="182">
        <v>0</v>
      </c>
      <c r="I87" s="185" t="str">
        <f t="shared" si="40"/>
        <v>完工</v>
      </c>
      <c r="J87" s="186">
        <v>0.8</v>
      </c>
      <c r="K87" s="32" t="str">
        <f t="shared" si="41"/>
        <v/>
      </c>
      <c r="L87" s="186" t="s">
        <v>660</v>
      </c>
      <c r="M87" s="187">
        <v>44440</v>
      </c>
      <c r="N87" s="188">
        <v>44531</v>
      </c>
      <c r="O87" s="181" t="s">
        <v>225</v>
      </c>
      <c r="P87" s="181" t="s">
        <v>36</v>
      </c>
      <c r="Q87" s="191"/>
      <c r="R87" s="192"/>
      <c r="S87" s="174">
        <f t="shared" si="38"/>
        <v>0</v>
      </c>
      <c r="T87" s="193" t="str">
        <f t="shared" si="42"/>
        <v/>
      </c>
      <c r="U87" s="175" t="str">
        <f t="shared" si="53"/>
        <v> </v>
      </c>
      <c r="V87" s="175" t="str">
        <f t="shared" si="55"/>
        <v> </v>
      </c>
      <c r="W87" s="175" t="str">
        <f t="shared" si="43"/>
        <v/>
      </c>
      <c r="X87" s="175" t="str">
        <f t="shared" si="44"/>
        <v/>
      </c>
      <c r="Y87" s="195" t="str">
        <f t="shared" si="45"/>
        <v/>
      </c>
      <c r="Z87" s="195" t="str">
        <f t="shared" si="46"/>
        <v/>
      </c>
      <c r="AA87" s="195" t="str">
        <f t="shared" si="47"/>
        <v/>
      </c>
      <c r="AB87" s="194"/>
      <c r="AC87" s="196" t="str">
        <f t="shared" si="48"/>
        <v/>
      </c>
    </row>
    <row r="88" s="174" customFormat="1" ht="14.15" hidden="1" customHeight="1" spans="1:29">
      <c r="A88" s="181">
        <v>98</v>
      </c>
      <c r="B88" s="181" t="s">
        <v>782</v>
      </c>
      <c r="C88" s="181" t="s">
        <v>223</v>
      </c>
      <c r="D88" s="181" t="s">
        <v>783</v>
      </c>
      <c r="E88" s="182">
        <v>0.14</v>
      </c>
      <c r="F88" s="182">
        <v>0.14</v>
      </c>
      <c r="G88" s="182">
        <v>0</v>
      </c>
      <c r="H88" s="182">
        <v>0</v>
      </c>
      <c r="I88" s="185" t="str">
        <f t="shared" si="40"/>
        <v>完工</v>
      </c>
      <c r="J88" s="186">
        <v>0.14</v>
      </c>
      <c r="K88" s="32" t="str">
        <f t="shared" si="41"/>
        <v/>
      </c>
      <c r="L88" s="186" t="s">
        <v>660</v>
      </c>
      <c r="M88" s="187">
        <v>44440</v>
      </c>
      <c r="N88" s="188">
        <v>44531</v>
      </c>
      <c r="O88" s="181" t="s">
        <v>225</v>
      </c>
      <c r="P88" s="181" t="s">
        <v>36</v>
      </c>
      <c r="Q88" s="191"/>
      <c r="R88" s="192"/>
      <c r="S88" s="174">
        <f t="shared" si="38"/>
        <v>0</v>
      </c>
      <c r="T88" s="193" t="str">
        <f t="shared" si="42"/>
        <v/>
      </c>
      <c r="U88" s="175" t="str">
        <f t="shared" si="53"/>
        <v> </v>
      </c>
      <c r="V88" s="175" t="str">
        <f t="shared" si="55"/>
        <v> </v>
      </c>
      <c r="W88" s="175" t="str">
        <f t="shared" si="43"/>
        <v/>
      </c>
      <c r="X88" s="175" t="str">
        <f t="shared" si="44"/>
        <v/>
      </c>
      <c r="Y88" s="195" t="str">
        <f t="shared" si="45"/>
        <v/>
      </c>
      <c r="Z88" s="195" t="str">
        <f t="shared" si="46"/>
        <v/>
      </c>
      <c r="AA88" s="195" t="str">
        <f t="shared" si="47"/>
        <v/>
      </c>
      <c r="AB88" s="194"/>
      <c r="AC88" s="196" t="str">
        <f t="shared" si="48"/>
        <v/>
      </c>
    </row>
    <row r="89" s="174" customFormat="1" ht="14.15" hidden="1" customHeight="1" spans="1:29">
      <c r="A89" s="181">
        <v>99</v>
      </c>
      <c r="B89" s="181" t="s">
        <v>784</v>
      </c>
      <c r="C89" s="181" t="s">
        <v>223</v>
      </c>
      <c r="D89" s="181" t="s">
        <v>785</v>
      </c>
      <c r="E89" s="182">
        <v>0.7</v>
      </c>
      <c r="F89" s="182">
        <v>0.7</v>
      </c>
      <c r="G89" s="182">
        <v>0</v>
      </c>
      <c r="H89" s="182">
        <v>0</v>
      </c>
      <c r="I89" s="185" t="str">
        <f t="shared" si="40"/>
        <v>完工</v>
      </c>
      <c r="J89" s="186">
        <v>0.7</v>
      </c>
      <c r="K89" s="32" t="str">
        <f t="shared" si="41"/>
        <v/>
      </c>
      <c r="L89" s="186" t="s">
        <v>660</v>
      </c>
      <c r="M89" s="187">
        <v>44440</v>
      </c>
      <c r="N89" s="188">
        <v>44531</v>
      </c>
      <c r="O89" s="181" t="s">
        <v>225</v>
      </c>
      <c r="P89" s="181" t="s">
        <v>36</v>
      </c>
      <c r="Q89" s="191"/>
      <c r="R89" s="192"/>
      <c r="S89" s="174">
        <f t="shared" si="38"/>
        <v>0</v>
      </c>
      <c r="T89" s="193" t="str">
        <f t="shared" si="42"/>
        <v/>
      </c>
      <c r="U89" s="175" t="str">
        <f t="shared" si="53"/>
        <v> </v>
      </c>
      <c r="V89" s="175" t="str">
        <f t="shared" si="55"/>
        <v> </v>
      </c>
      <c r="W89" s="175" t="str">
        <f t="shared" si="43"/>
        <v/>
      </c>
      <c r="X89" s="175" t="str">
        <f t="shared" si="44"/>
        <v/>
      </c>
      <c r="Y89" s="195" t="str">
        <f t="shared" si="45"/>
        <v/>
      </c>
      <c r="Z89" s="195" t="str">
        <f t="shared" si="46"/>
        <v/>
      </c>
      <c r="AA89" s="195" t="str">
        <f t="shared" si="47"/>
        <v/>
      </c>
      <c r="AB89" s="194"/>
      <c r="AC89" s="196" t="str">
        <f t="shared" si="48"/>
        <v/>
      </c>
    </row>
    <row r="90" s="174" customFormat="1" ht="14.15" hidden="1" customHeight="1" spans="1:29">
      <c r="A90" s="181">
        <v>100</v>
      </c>
      <c r="B90" s="181" t="s">
        <v>786</v>
      </c>
      <c r="C90" s="181" t="s">
        <v>223</v>
      </c>
      <c r="D90" s="181" t="s">
        <v>787</v>
      </c>
      <c r="E90" s="182">
        <v>1.5</v>
      </c>
      <c r="F90" s="182">
        <v>1.5</v>
      </c>
      <c r="G90" s="182">
        <v>0</v>
      </c>
      <c r="H90" s="182">
        <v>0</v>
      </c>
      <c r="I90" s="185" t="str">
        <f t="shared" si="40"/>
        <v>完工</v>
      </c>
      <c r="J90" s="186">
        <v>1.5</v>
      </c>
      <c r="K90" s="32" t="str">
        <f t="shared" si="41"/>
        <v/>
      </c>
      <c r="L90" s="186" t="s">
        <v>660</v>
      </c>
      <c r="M90" s="187">
        <v>44440</v>
      </c>
      <c r="N90" s="188">
        <v>44531</v>
      </c>
      <c r="O90" s="181" t="s">
        <v>225</v>
      </c>
      <c r="P90" s="181" t="s">
        <v>36</v>
      </c>
      <c r="Q90" s="191"/>
      <c r="R90" s="192"/>
      <c r="S90" s="174">
        <f t="shared" si="38"/>
        <v>0</v>
      </c>
      <c r="T90" s="193" t="str">
        <f t="shared" si="42"/>
        <v/>
      </c>
      <c r="U90" s="175" t="str">
        <f t="shared" si="53"/>
        <v> </v>
      </c>
      <c r="V90" s="175" t="str">
        <f t="shared" si="55"/>
        <v> </v>
      </c>
      <c r="W90" s="175" t="str">
        <f t="shared" si="43"/>
        <v/>
      </c>
      <c r="X90" s="175" t="str">
        <f t="shared" si="44"/>
        <v/>
      </c>
      <c r="Y90" s="195" t="str">
        <f t="shared" si="45"/>
        <v/>
      </c>
      <c r="Z90" s="195" t="str">
        <f t="shared" si="46"/>
        <v/>
      </c>
      <c r="AA90" s="195" t="str">
        <f t="shared" si="47"/>
        <v/>
      </c>
      <c r="AB90" s="194"/>
      <c r="AC90" s="196" t="str">
        <f t="shared" si="48"/>
        <v/>
      </c>
    </row>
    <row r="91" s="174" customFormat="1" ht="14.15" hidden="1" customHeight="1" spans="1:29">
      <c r="A91" s="181">
        <v>101</v>
      </c>
      <c r="B91" s="181" t="s">
        <v>788</v>
      </c>
      <c r="C91" s="181" t="s">
        <v>413</v>
      </c>
      <c r="D91" s="181" t="s">
        <v>789</v>
      </c>
      <c r="E91" s="182">
        <v>3000</v>
      </c>
      <c r="F91" s="182">
        <v>1000</v>
      </c>
      <c r="G91" s="182">
        <v>1500</v>
      </c>
      <c r="H91" s="182">
        <v>500</v>
      </c>
      <c r="I91" s="185" t="str">
        <f t="shared" si="40"/>
        <v>在建</v>
      </c>
      <c r="J91" s="186">
        <v>2200</v>
      </c>
      <c r="K91" s="32">
        <f t="shared" si="41"/>
        <v>1200</v>
      </c>
      <c r="L91" s="186" t="s">
        <v>790</v>
      </c>
      <c r="M91" s="187">
        <v>44501</v>
      </c>
      <c r="N91" s="188">
        <v>45200</v>
      </c>
      <c r="O91" s="181" t="s">
        <v>416</v>
      </c>
      <c r="P91" s="181" t="s">
        <v>132</v>
      </c>
      <c r="Q91" s="191"/>
      <c r="R91" s="192"/>
      <c r="S91" s="174">
        <f t="shared" si="38"/>
        <v>0</v>
      </c>
      <c r="T91" s="193">
        <f t="shared" si="42"/>
        <v>0</v>
      </c>
      <c r="U91" s="175">
        <f t="shared" si="53"/>
        <v>0</v>
      </c>
      <c r="V91" s="175">
        <f>IF(I91="完工"," ",0)</f>
        <v>0</v>
      </c>
      <c r="W91" s="175">
        <f t="shared" si="43"/>
        <v>12</v>
      </c>
      <c r="X91" s="175">
        <f t="shared" si="44"/>
        <v>6.5</v>
      </c>
      <c r="Y91" s="195">
        <f t="shared" si="45"/>
        <v>0.542</v>
      </c>
      <c r="Z91" s="195">
        <f t="shared" si="46"/>
        <v>0.8</v>
      </c>
      <c r="AA91" s="195">
        <f t="shared" si="47"/>
        <v>0.258</v>
      </c>
      <c r="AB91" s="194"/>
      <c r="AC91" s="196">
        <f t="shared" si="48"/>
        <v>0.733</v>
      </c>
    </row>
    <row r="92" s="174" customFormat="1" ht="14.15" hidden="1" customHeight="1" spans="1:29">
      <c r="A92" s="181">
        <v>102</v>
      </c>
      <c r="B92" s="181" t="s">
        <v>791</v>
      </c>
      <c r="C92" s="181" t="s">
        <v>413</v>
      </c>
      <c r="D92" s="181" t="s">
        <v>792</v>
      </c>
      <c r="E92" s="182">
        <v>1430</v>
      </c>
      <c r="F92" s="182">
        <v>500</v>
      </c>
      <c r="G92" s="182">
        <v>930</v>
      </c>
      <c r="H92" s="182">
        <v>0</v>
      </c>
      <c r="I92" s="185" t="str">
        <f t="shared" si="40"/>
        <v>在建</v>
      </c>
      <c r="J92" s="186">
        <v>1215</v>
      </c>
      <c r="K92" s="32">
        <f t="shared" si="41"/>
        <v>715</v>
      </c>
      <c r="L92" s="186" t="s">
        <v>790</v>
      </c>
      <c r="M92" s="187">
        <v>44501</v>
      </c>
      <c r="N92" s="188">
        <v>44896</v>
      </c>
      <c r="O92" s="181" t="s">
        <v>416</v>
      </c>
      <c r="P92" s="181" t="s">
        <v>132</v>
      </c>
      <c r="Q92" s="191"/>
      <c r="R92" s="192"/>
      <c r="S92" s="174">
        <f t="shared" si="38"/>
        <v>0</v>
      </c>
      <c r="T92" s="193">
        <f t="shared" si="42"/>
        <v>0</v>
      </c>
      <c r="U92" s="175">
        <f t="shared" si="53"/>
        <v>0</v>
      </c>
      <c r="V92" s="175">
        <f>IF(I92="完工","",0)</f>
        <v>0</v>
      </c>
      <c r="W92" s="175">
        <f t="shared" si="43"/>
        <v>12</v>
      </c>
      <c r="X92" s="175">
        <f t="shared" si="44"/>
        <v>6.5</v>
      </c>
      <c r="Y92" s="195">
        <f t="shared" si="45"/>
        <v>0.542</v>
      </c>
      <c r="Z92" s="195">
        <f t="shared" si="46"/>
        <v>0.769</v>
      </c>
      <c r="AA92" s="195">
        <f t="shared" si="47"/>
        <v>0.227</v>
      </c>
      <c r="AB92" s="194"/>
      <c r="AC92" s="196">
        <f t="shared" si="48"/>
        <v>0.85</v>
      </c>
    </row>
    <row r="93" s="174" customFormat="1" ht="14.15" hidden="1" customHeight="1" spans="1:29">
      <c r="A93" s="181">
        <v>103</v>
      </c>
      <c r="B93" s="181" t="s">
        <v>793</v>
      </c>
      <c r="C93" s="181" t="s">
        <v>413</v>
      </c>
      <c r="D93" s="181" t="s">
        <v>794</v>
      </c>
      <c r="E93" s="182">
        <v>67</v>
      </c>
      <c r="F93" s="182">
        <v>67</v>
      </c>
      <c r="G93" s="182">
        <v>0</v>
      </c>
      <c r="H93" s="182">
        <v>0</v>
      </c>
      <c r="I93" s="185" t="str">
        <f t="shared" si="40"/>
        <v>完工</v>
      </c>
      <c r="J93" s="186">
        <v>67</v>
      </c>
      <c r="K93" s="32" t="str">
        <f t="shared" si="41"/>
        <v/>
      </c>
      <c r="L93" s="186" t="s">
        <v>660</v>
      </c>
      <c r="M93" s="187">
        <v>44440</v>
      </c>
      <c r="N93" s="188">
        <v>44501</v>
      </c>
      <c r="O93" s="181" t="s">
        <v>416</v>
      </c>
      <c r="P93" s="181" t="s">
        <v>36</v>
      </c>
      <c r="Q93" s="191"/>
      <c r="R93" s="192"/>
      <c r="S93" s="174">
        <f t="shared" si="38"/>
        <v>0</v>
      </c>
      <c r="T93" s="193" t="str">
        <f t="shared" si="42"/>
        <v/>
      </c>
      <c r="U93" s="175" t="str">
        <f t="shared" si="53"/>
        <v> </v>
      </c>
      <c r="V93" s="175" t="str">
        <f>IF(I93="完工"," ",12)</f>
        <v> </v>
      </c>
      <c r="W93" s="175" t="str">
        <f t="shared" si="43"/>
        <v/>
      </c>
      <c r="X93" s="175" t="str">
        <f t="shared" si="44"/>
        <v/>
      </c>
      <c r="Y93" s="195" t="str">
        <f t="shared" si="45"/>
        <v/>
      </c>
      <c r="Z93" s="195" t="str">
        <f t="shared" si="46"/>
        <v/>
      </c>
      <c r="AA93" s="195" t="str">
        <f t="shared" si="47"/>
        <v/>
      </c>
      <c r="AB93" s="194"/>
      <c r="AC93" s="196" t="str">
        <f t="shared" si="48"/>
        <v/>
      </c>
    </row>
    <row r="94" s="174" customFormat="1" ht="14.15" hidden="1" customHeight="1" spans="1:29">
      <c r="A94" s="181">
        <v>104</v>
      </c>
      <c r="B94" s="181" t="s">
        <v>795</v>
      </c>
      <c r="C94" s="181" t="s">
        <v>413</v>
      </c>
      <c r="D94" s="181" t="s">
        <v>796</v>
      </c>
      <c r="E94" s="182">
        <v>900</v>
      </c>
      <c r="F94" s="182">
        <v>0</v>
      </c>
      <c r="G94" s="182">
        <v>900</v>
      </c>
      <c r="H94" s="182">
        <v>0</v>
      </c>
      <c r="I94" s="185" t="str">
        <f t="shared" si="40"/>
        <v>完工</v>
      </c>
      <c r="J94" s="186">
        <v>900</v>
      </c>
      <c r="K94" s="32">
        <f t="shared" si="41"/>
        <v>900</v>
      </c>
      <c r="L94" s="186" t="s">
        <v>797</v>
      </c>
      <c r="M94" s="187">
        <v>44531</v>
      </c>
      <c r="N94" s="188">
        <v>44671</v>
      </c>
      <c r="O94" s="181" t="s">
        <v>416</v>
      </c>
      <c r="P94" s="181" t="s">
        <v>42</v>
      </c>
      <c r="Q94" s="191"/>
      <c r="R94" s="192"/>
      <c r="S94" s="174">
        <f t="shared" si="38"/>
        <v>0</v>
      </c>
      <c r="T94" s="193" t="str">
        <f t="shared" si="42"/>
        <v/>
      </c>
      <c r="U94" s="175" t="str">
        <f t="shared" si="53"/>
        <v> </v>
      </c>
      <c r="V94" s="175" t="str">
        <f t="shared" ref="V94:V95" si="56">IF(I94="完工"," ",8)</f>
        <v> </v>
      </c>
      <c r="W94" s="175" t="str">
        <f t="shared" si="43"/>
        <v/>
      </c>
      <c r="X94" s="175" t="str">
        <f t="shared" si="44"/>
        <v/>
      </c>
      <c r="Y94" s="195" t="str">
        <f t="shared" si="45"/>
        <v/>
      </c>
      <c r="Z94" s="195" t="str">
        <f t="shared" si="46"/>
        <v/>
      </c>
      <c r="AA94" s="195" t="str">
        <f t="shared" si="47"/>
        <v/>
      </c>
      <c r="AB94" s="194"/>
      <c r="AC94" s="196" t="str">
        <f t="shared" si="48"/>
        <v/>
      </c>
    </row>
    <row r="95" s="174" customFormat="1" ht="14.15" hidden="1" customHeight="1" spans="1:29">
      <c r="A95" s="181">
        <v>105</v>
      </c>
      <c r="B95" s="181" t="s">
        <v>798</v>
      </c>
      <c r="C95" s="181" t="s">
        <v>413</v>
      </c>
      <c r="D95" s="181" t="s">
        <v>799</v>
      </c>
      <c r="E95" s="182">
        <v>20377.26</v>
      </c>
      <c r="F95" s="182">
        <v>0</v>
      </c>
      <c r="G95" s="182">
        <v>20377.26</v>
      </c>
      <c r="H95" s="182">
        <v>0</v>
      </c>
      <c r="I95" s="185" t="str">
        <f t="shared" si="40"/>
        <v>完工</v>
      </c>
      <c r="J95" s="186">
        <v>20377.26</v>
      </c>
      <c r="K95" s="32">
        <f t="shared" si="41"/>
        <v>20377.26</v>
      </c>
      <c r="L95" s="186" t="s">
        <v>660</v>
      </c>
      <c r="M95" s="187">
        <v>44470</v>
      </c>
      <c r="N95" s="188">
        <v>44671</v>
      </c>
      <c r="O95" s="181" t="s">
        <v>416</v>
      </c>
      <c r="P95" s="181" t="s">
        <v>42</v>
      </c>
      <c r="Q95" s="191"/>
      <c r="R95" s="192"/>
      <c r="S95" s="174">
        <f t="shared" si="38"/>
        <v>0</v>
      </c>
      <c r="T95" s="193" t="str">
        <f t="shared" si="42"/>
        <v/>
      </c>
      <c r="U95" s="175" t="str">
        <f t="shared" si="53"/>
        <v> </v>
      </c>
      <c r="V95" s="175" t="str">
        <f t="shared" si="56"/>
        <v> </v>
      </c>
      <c r="W95" s="175" t="str">
        <f t="shared" si="43"/>
        <v/>
      </c>
      <c r="X95" s="175" t="str">
        <f t="shared" si="44"/>
        <v/>
      </c>
      <c r="Y95" s="195" t="str">
        <f t="shared" si="45"/>
        <v/>
      </c>
      <c r="Z95" s="195" t="str">
        <f t="shared" si="46"/>
        <v/>
      </c>
      <c r="AA95" s="195" t="str">
        <f t="shared" si="47"/>
        <v/>
      </c>
      <c r="AB95" s="194"/>
      <c r="AC95" s="196" t="str">
        <f t="shared" si="48"/>
        <v/>
      </c>
    </row>
    <row r="96" s="174" customFormat="1" ht="130" customHeight="1" spans="1:29">
      <c r="A96" s="197">
        <v>106</v>
      </c>
      <c r="B96" s="198" t="s">
        <v>800</v>
      </c>
      <c r="C96" s="197" t="s">
        <v>413</v>
      </c>
      <c r="D96" s="198" t="s">
        <v>801</v>
      </c>
      <c r="E96" s="182">
        <v>128</v>
      </c>
      <c r="F96" s="182">
        <v>70</v>
      </c>
      <c r="G96" s="182">
        <v>58</v>
      </c>
      <c r="H96" s="182">
        <v>0</v>
      </c>
      <c r="I96" s="185" t="str">
        <f t="shared" si="40"/>
        <v>完工</v>
      </c>
      <c r="J96" s="186">
        <v>128</v>
      </c>
      <c r="K96" s="32">
        <v>58</v>
      </c>
      <c r="L96" s="186" t="s">
        <v>802</v>
      </c>
      <c r="M96" s="187" t="s">
        <v>803</v>
      </c>
      <c r="N96" s="188">
        <v>44834</v>
      </c>
      <c r="O96" s="181" t="s">
        <v>416</v>
      </c>
      <c r="P96" s="181" t="s">
        <v>51</v>
      </c>
      <c r="Q96" s="191" t="s">
        <v>804</v>
      </c>
      <c r="R96" s="192"/>
      <c r="S96" s="174">
        <f t="shared" si="38"/>
        <v>0</v>
      </c>
      <c r="T96" s="193" t="str">
        <f t="shared" si="42"/>
        <v/>
      </c>
      <c r="U96" s="175" t="str">
        <f t="shared" si="53"/>
        <v> </v>
      </c>
      <c r="V96" s="175" t="str">
        <f>IF(I96="完工"," ",5)</f>
        <v> </v>
      </c>
      <c r="W96" s="175" t="str">
        <f t="shared" si="43"/>
        <v/>
      </c>
      <c r="X96" s="175" t="str">
        <f t="shared" si="44"/>
        <v/>
      </c>
      <c r="Y96" s="195" t="str">
        <f t="shared" si="45"/>
        <v/>
      </c>
      <c r="Z96" s="195" t="str">
        <f t="shared" si="46"/>
        <v/>
      </c>
      <c r="AA96" s="195" t="str">
        <f t="shared" si="47"/>
        <v/>
      </c>
      <c r="AB96" s="194"/>
      <c r="AC96" s="196" t="str">
        <f t="shared" si="48"/>
        <v/>
      </c>
    </row>
    <row r="97" s="174" customFormat="1" ht="14.15" hidden="1" customHeight="1" spans="1:29">
      <c r="A97" s="181">
        <v>107</v>
      </c>
      <c r="B97" s="181" t="s">
        <v>805</v>
      </c>
      <c r="C97" s="181" t="s">
        <v>413</v>
      </c>
      <c r="D97" s="181" t="s">
        <v>806</v>
      </c>
      <c r="E97" s="182">
        <v>6000</v>
      </c>
      <c r="F97" s="182">
        <v>0</v>
      </c>
      <c r="G97" s="182">
        <v>6000</v>
      </c>
      <c r="H97" s="182">
        <v>0</v>
      </c>
      <c r="I97" s="185" t="str">
        <f t="shared" si="40"/>
        <v>在建</v>
      </c>
      <c r="J97" s="186">
        <v>5880</v>
      </c>
      <c r="K97" s="32">
        <f t="shared" si="41"/>
        <v>5880</v>
      </c>
      <c r="L97" s="186" t="s">
        <v>807</v>
      </c>
      <c r="M97" s="187">
        <v>44743</v>
      </c>
      <c r="N97" s="188">
        <v>44896</v>
      </c>
      <c r="O97" s="181" t="s">
        <v>416</v>
      </c>
      <c r="P97" s="181" t="s">
        <v>48</v>
      </c>
      <c r="Q97" s="191">
        <v>36.6</v>
      </c>
      <c r="R97" s="192"/>
      <c r="S97" s="174">
        <f t="shared" si="38"/>
        <v>0</v>
      </c>
      <c r="T97" s="193">
        <f t="shared" si="42"/>
        <v>0</v>
      </c>
      <c r="U97" s="175">
        <f t="shared" ref="U97:U98" si="57">IF(I97="完工"," ",2.7)</f>
        <v>2.7</v>
      </c>
      <c r="V97" s="175">
        <f t="shared" ref="V97:V98" si="58">IF(I97="完工","",0)</f>
        <v>0</v>
      </c>
      <c r="W97" s="175">
        <f t="shared" si="43"/>
        <v>9.3</v>
      </c>
      <c r="X97" s="175">
        <f t="shared" si="44"/>
        <v>3.8</v>
      </c>
      <c r="Y97" s="195">
        <f t="shared" si="45"/>
        <v>0.409</v>
      </c>
      <c r="Z97" s="195">
        <f t="shared" si="46"/>
        <v>0.98</v>
      </c>
      <c r="AA97" s="195">
        <f t="shared" si="47"/>
        <v>0.571</v>
      </c>
      <c r="AB97" s="194"/>
      <c r="AC97" s="196">
        <f t="shared" si="48"/>
        <v>0.98</v>
      </c>
    </row>
    <row r="98" s="174" customFormat="1" ht="14.15" hidden="1" customHeight="1" spans="1:29">
      <c r="A98" s="181">
        <v>108</v>
      </c>
      <c r="B98" s="181" t="s">
        <v>808</v>
      </c>
      <c r="C98" s="181" t="s">
        <v>413</v>
      </c>
      <c r="D98" s="181" t="s">
        <v>809</v>
      </c>
      <c r="E98" s="182">
        <v>7500</v>
      </c>
      <c r="F98" s="182">
        <v>0</v>
      </c>
      <c r="G98" s="182">
        <v>7500</v>
      </c>
      <c r="H98" s="182">
        <v>0</v>
      </c>
      <c r="I98" s="185" t="str">
        <f t="shared" si="40"/>
        <v>在建</v>
      </c>
      <c r="J98" s="186">
        <v>7275</v>
      </c>
      <c r="K98" s="32">
        <f t="shared" si="41"/>
        <v>7275</v>
      </c>
      <c r="L98" s="186" t="s">
        <v>810</v>
      </c>
      <c r="M98" s="187">
        <v>44743</v>
      </c>
      <c r="N98" s="188">
        <v>44896</v>
      </c>
      <c r="O98" s="181" t="s">
        <v>416</v>
      </c>
      <c r="P98" s="181" t="s">
        <v>48</v>
      </c>
      <c r="Q98" s="191">
        <v>6</v>
      </c>
      <c r="R98" s="192"/>
      <c r="S98" s="174">
        <f t="shared" si="38"/>
        <v>0</v>
      </c>
      <c r="T98" s="193">
        <f t="shared" si="42"/>
        <v>0</v>
      </c>
      <c r="U98" s="175">
        <f t="shared" si="57"/>
        <v>2.7</v>
      </c>
      <c r="V98" s="175">
        <f t="shared" si="58"/>
        <v>0</v>
      </c>
      <c r="W98" s="175">
        <f t="shared" si="43"/>
        <v>9.3</v>
      </c>
      <c r="X98" s="175">
        <f t="shared" si="44"/>
        <v>3.8</v>
      </c>
      <c r="Y98" s="195">
        <f t="shared" si="45"/>
        <v>0.409</v>
      </c>
      <c r="Z98" s="195">
        <f t="shared" si="46"/>
        <v>0.97</v>
      </c>
      <c r="AA98" s="195">
        <f t="shared" si="47"/>
        <v>0.561</v>
      </c>
      <c r="AB98" s="194"/>
      <c r="AC98" s="196">
        <f t="shared" si="48"/>
        <v>0.97</v>
      </c>
    </row>
    <row r="99" s="174" customFormat="1" ht="14.15" hidden="1" customHeight="1" spans="1:29">
      <c r="A99" s="181">
        <v>109</v>
      </c>
      <c r="B99" s="181" t="s">
        <v>811</v>
      </c>
      <c r="C99" s="181" t="s">
        <v>413</v>
      </c>
      <c r="D99" s="181" t="s">
        <v>812</v>
      </c>
      <c r="E99" s="182">
        <v>6015</v>
      </c>
      <c r="F99" s="182">
        <v>2313.4</v>
      </c>
      <c r="G99" s="182">
        <v>3701.6</v>
      </c>
      <c r="H99" s="182">
        <v>0</v>
      </c>
      <c r="I99" s="185" t="str">
        <f t="shared" si="40"/>
        <v>完工</v>
      </c>
      <c r="J99" s="186">
        <v>6015</v>
      </c>
      <c r="K99" s="32">
        <f t="shared" si="41"/>
        <v>3701.6</v>
      </c>
      <c r="L99" s="186" t="s">
        <v>660</v>
      </c>
      <c r="M99" s="187">
        <v>44470</v>
      </c>
      <c r="N99" s="188">
        <v>44682</v>
      </c>
      <c r="O99" s="181" t="s">
        <v>416</v>
      </c>
      <c r="P99" s="181" t="s">
        <v>66</v>
      </c>
      <c r="Q99" s="191"/>
      <c r="R99" s="192"/>
      <c r="S99" s="174">
        <f t="shared" si="38"/>
        <v>0</v>
      </c>
      <c r="T99" s="193" t="str">
        <f t="shared" si="42"/>
        <v/>
      </c>
      <c r="U99" s="175" t="str">
        <f t="shared" ref="U99" si="59">IF(I99="完工"," ",0)</f>
        <v> </v>
      </c>
      <c r="V99" s="175" t="str">
        <f>IF(I99="完工"," ",7)</f>
        <v> </v>
      </c>
      <c r="W99" s="175" t="str">
        <f t="shared" si="43"/>
        <v/>
      </c>
      <c r="X99" s="175" t="str">
        <f t="shared" si="44"/>
        <v/>
      </c>
      <c r="Y99" s="195" t="str">
        <f t="shared" si="45"/>
        <v/>
      </c>
      <c r="Z99" s="195" t="str">
        <f t="shared" si="46"/>
        <v/>
      </c>
      <c r="AA99" s="195" t="str">
        <f t="shared" si="47"/>
        <v/>
      </c>
      <c r="AB99" s="194"/>
      <c r="AC99" s="196" t="str">
        <f t="shared" si="48"/>
        <v/>
      </c>
    </row>
    <row r="100" s="174" customFormat="1" ht="14.15" hidden="1" customHeight="1" spans="1:29">
      <c r="A100" s="181" t="s">
        <v>813</v>
      </c>
      <c r="B100" s="181" t="s">
        <v>814</v>
      </c>
      <c r="C100" s="181" t="s">
        <v>413</v>
      </c>
      <c r="D100" s="181" t="s">
        <v>815</v>
      </c>
      <c r="E100" s="182">
        <v>7000</v>
      </c>
      <c r="F100" s="182">
        <v>0</v>
      </c>
      <c r="G100" s="182">
        <v>7000</v>
      </c>
      <c r="H100" s="182">
        <v>0</v>
      </c>
      <c r="I100" s="185" t="str">
        <f t="shared" si="40"/>
        <v>在建</v>
      </c>
      <c r="J100" s="186">
        <v>6100</v>
      </c>
      <c r="K100" s="32">
        <f t="shared" si="41"/>
        <v>6100</v>
      </c>
      <c r="L100" s="186" t="s">
        <v>816</v>
      </c>
      <c r="M100" s="187">
        <v>44682</v>
      </c>
      <c r="N100" s="188">
        <v>44896</v>
      </c>
      <c r="O100" s="181" t="s">
        <v>416</v>
      </c>
      <c r="P100" s="181" t="s">
        <v>66</v>
      </c>
      <c r="Q100" s="191"/>
      <c r="R100" s="192"/>
      <c r="S100" s="174">
        <f t="shared" si="38"/>
        <v>0</v>
      </c>
      <c r="T100" s="193">
        <f t="shared" si="42"/>
        <v>0</v>
      </c>
      <c r="U100" s="175">
        <f>IF(I100="完工"," ",2.7)</f>
        <v>2.7</v>
      </c>
      <c r="V100" s="175">
        <f>IF(I100="完工","",0)</f>
        <v>0</v>
      </c>
      <c r="W100" s="175">
        <f t="shared" si="43"/>
        <v>9.3</v>
      </c>
      <c r="X100" s="175">
        <f t="shared" si="44"/>
        <v>3.8</v>
      </c>
      <c r="Y100" s="195">
        <f t="shared" si="45"/>
        <v>0.409</v>
      </c>
      <c r="Z100" s="195">
        <f t="shared" si="46"/>
        <v>0.871</v>
      </c>
      <c r="AA100" s="195">
        <f t="shared" si="47"/>
        <v>0.462</v>
      </c>
      <c r="AB100" s="194"/>
      <c r="AC100" s="196">
        <f t="shared" si="48"/>
        <v>0.871</v>
      </c>
    </row>
    <row r="101" s="174" customFormat="1" ht="14.15" hidden="1" customHeight="1" spans="1:29">
      <c r="A101" s="181">
        <v>112</v>
      </c>
      <c r="B101" s="181" t="s">
        <v>817</v>
      </c>
      <c r="C101" s="181" t="s">
        <v>461</v>
      </c>
      <c r="D101" s="181" t="s">
        <v>818</v>
      </c>
      <c r="E101" s="182">
        <v>21984</v>
      </c>
      <c r="F101" s="182">
        <v>10615</v>
      </c>
      <c r="G101" s="182">
        <v>3000</v>
      </c>
      <c r="H101" s="182">
        <v>8369</v>
      </c>
      <c r="I101" s="185" t="str">
        <f t="shared" si="40"/>
        <v>在建</v>
      </c>
      <c r="J101" s="186">
        <v>14575</v>
      </c>
      <c r="K101" s="32">
        <f t="shared" si="41"/>
        <v>3960</v>
      </c>
      <c r="L101" s="186" t="s">
        <v>819</v>
      </c>
      <c r="M101" s="187">
        <v>43952</v>
      </c>
      <c r="N101" s="188">
        <v>45139</v>
      </c>
      <c r="O101" s="181" t="s">
        <v>464</v>
      </c>
      <c r="P101" s="181" t="s">
        <v>66</v>
      </c>
      <c r="Q101" s="191"/>
      <c r="R101" s="192"/>
      <c r="S101" s="174">
        <f t="shared" si="38"/>
        <v>0</v>
      </c>
      <c r="T101" s="193">
        <f t="shared" si="42"/>
        <v>0</v>
      </c>
      <c r="U101" s="175">
        <f t="shared" ref="U101:U105" si="60">IF(I101="完工"," ",0)</f>
        <v>0</v>
      </c>
      <c r="V101" s="175">
        <f>IF(I101="完工"," ",0)</f>
        <v>0</v>
      </c>
      <c r="W101" s="175">
        <f t="shared" si="43"/>
        <v>12</v>
      </c>
      <c r="X101" s="175">
        <f t="shared" si="44"/>
        <v>6.5</v>
      </c>
      <c r="Y101" s="195">
        <f t="shared" si="45"/>
        <v>0.542</v>
      </c>
      <c r="Z101" s="195">
        <f t="shared" si="46"/>
        <v>1.32</v>
      </c>
      <c r="AA101" s="195">
        <f t="shared" si="47"/>
        <v>0.778</v>
      </c>
      <c r="AB101" s="194"/>
      <c r="AC101" s="196">
        <f t="shared" si="48"/>
        <v>0.663</v>
      </c>
    </row>
    <row r="102" s="174" customFormat="1" ht="14.15" hidden="1" customHeight="1" spans="1:29">
      <c r="A102" s="181">
        <v>113</v>
      </c>
      <c r="B102" s="181" t="s">
        <v>820</v>
      </c>
      <c r="C102" s="181" t="s">
        <v>461</v>
      </c>
      <c r="D102" s="181" t="s">
        <v>821</v>
      </c>
      <c r="E102" s="182">
        <v>18000</v>
      </c>
      <c r="F102" s="182">
        <v>9739</v>
      </c>
      <c r="G102" s="182">
        <v>8261</v>
      </c>
      <c r="H102" s="182">
        <v>0</v>
      </c>
      <c r="I102" s="185" t="str">
        <f t="shared" si="40"/>
        <v>在建</v>
      </c>
      <c r="J102" s="186">
        <v>17370</v>
      </c>
      <c r="K102" s="32">
        <f t="shared" si="41"/>
        <v>7631</v>
      </c>
      <c r="L102" s="186" t="s">
        <v>822</v>
      </c>
      <c r="M102" s="187">
        <v>43952</v>
      </c>
      <c r="N102" s="188">
        <v>44896</v>
      </c>
      <c r="O102" s="181" t="s">
        <v>464</v>
      </c>
      <c r="P102" s="181" t="s">
        <v>66</v>
      </c>
      <c r="Q102" s="191"/>
      <c r="R102" s="192"/>
      <c r="S102" s="174">
        <f t="shared" si="38"/>
        <v>0</v>
      </c>
      <c r="T102" s="193">
        <f t="shared" si="42"/>
        <v>0</v>
      </c>
      <c r="U102" s="175">
        <f t="shared" si="60"/>
        <v>0</v>
      </c>
      <c r="V102" s="175">
        <f>IF(I102="完工","",0)</f>
        <v>0</v>
      </c>
      <c r="W102" s="175">
        <f t="shared" si="43"/>
        <v>12</v>
      </c>
      <c r="X102" s="175">
        <f t="shared" si="44"/>
        <v>6.5</v>
      </c>
      <c r="Y102" s="195">
        <f t="shared" si="45"/>
        <v>0.542</v>
      </c>
      <c r="Z102" s="195">
        <f t="shared" si="46"/>
        <v>0.924</v>
      </c>
      <c r="AA102" s="195">
        <f t="shared" si="47"/>
        <v>0.382</v>
      </c>
      <c r="AB102" s="194"/>
      <c r="AC102" s="196">
        <f t="shared" si="48"/>
        <v>0.965</v>
      </c>
    </row>
    <row r="103" s="174" customFormat="1" ht="14.15" hidden="1" customHeight="1" spans="1:29">
      <c r="A103" s="181">
        <v>114</v>
      </c>
      <c r="B103" s="181" t="s">
        <v>823</v>
      </c>
      <c r="C103" s="181" t="s">
        <v>461</v>
      </c>
      <c r="D103" s="181" t="s">
        <v>824</v>
      </c>
      <c r="E103" s="182">
        <v>12600</v>
      </c>
      <c r="F103" s="182">
        <v>6300</v>
      </c>
      <c r="G103" s="182">
        <v>6300</v>
      </c>
      <c r="H103" s="182">
        <v>0</v>
      </c>
      <c r="I103" s="185" t="str">
        <f t="shared" si="40"/>
        <v>完工</v>
      </c>
      <c r="J103" s="186">
        <v>12600</v>
      </c>
      <c r="K103" s="32">
        <f t="shared" si="41"/>
        <v>6300</v>
      </c>
      <c r="L103" s="186" t="s">
        <v>825</v>
      </c>
      <c r="M103" s="187">
        <v>43952</v>
      </c>
      <c r="N103" s="188">
        <v>44774</v>
      </c>
      <c r="O103" s="181" t="s">
        <v>464</v>
      </c>
      <c r="P103" s="181" t="s">
        <v>66</v>
      </c>
      <c r="Q103" s="191"/>
      <c r="R103" s="192"/>
      <c r="S103" s="174">
        <f t="shared" si="38"/>
        <v>0</v>
      </c>
      <c r="T103" s="193" t="str">
        <f t="shared" si="42"/>
        <v/>
      </c>
      <c r="U103" s="175" t="str">
        <f t="shared" si="60"/>
        <v> </v>
      </c>
      <c r="V103" s="175" t="str">
        <f>IF(I103="完工"," ",4)</f>
        <v> </v>
      </c>
      <c r="W103" s="175" t="str">
        <f t="shared" si="43"/>
        <v/>
      </c>
      <c r="X103" s="175" t="str">
        <f t="shared" si="44"/>
        <v/>
      </c>
      <c r="Y103" s="195" t="str">
        <f t="shared" si="45"/>
        <v/>
      </c>
      <c r="Z103" s="195" t="str">
        <f t="shared" si="46"/>
        <v/>
      </c>
      <c r="AA103" s="195" t="str">
        <f t="shared" si="47"/>
        <v/>
      </c>
      <c r="AB103" s="194"/>
      <c r="AC103" s="196" t="str">
        <f t="shared" si="48"/>
        <v/>
      </c>
    </row>
    <row r="104" s="174" customFormat="1" ht="14.15" hidden="1" customHeight="1" spans="1:29">
      <c r="A104" s="181" t="s">
        <v>826</v>
      </c>
      <c r="B104" s="181" t="s">
        <v>827</v>
      </c>
      <c r="C104" s="181" t="s">
        <v>461</v>
      </c>
      <c r="D104" s="181" t="s">
        <v>828</v>
      </c>
      <c r="E104" s="182">
        <v>21133.3</v>
      </c>
      <c r="F104" s="182">
        <v>5870</v>
      </c>
      <c r="G104" s="182">
        <v>8600</v>
      </c>
      <c r="H104" s="182">
        <v>6663.3</v>
      </c>
      <c r="I104" s="185" t="str">
        <f t="shared" si="40"/>
        <v>在建</v>
      </c>
      <c r="J104" s="186">
        <v>15876</v>
      </c>
      <c r="K104" s="32">
        <f t="shared" si="41"/>
        <v>10006</v>
      </c>
      <c r="L104" s="186" t="s">
        <v>829</v>
      </c>
      <c r="M104" s="187">
        <v>44317</v>
      </c>
      <c r="N104" s="188">
        <v>45139</v>
      </c>
      <c r="O104" s="181" t="s">
        <v>464</v>
      </c>
      <c r="P104" s="181" t="s">
        <v>66</v>
      </c>
      <c r="Q104" s="191"/>
      <c r="R104" s="192"/>
      <c r="S104" s="174">
        <f t="shared" si="38"/>
        <v>0</v>
      </c>
      <c r="T104" s="193">
        <f t="shared" si="42"/>
        <v>0</v>
      </c>
      <c r="U104" s="175">
        <f t="shared" si="60"/>
        <v>0</v>
      </c>
      <c r="V104" s="175">
        <f t="shared" ref="V104:V106" si="61">IF(I104="完工"," ",0)</f>
        <v>0</v>
      </c>
      <c r="W104" s="175">
        <f t="shared" si="43"/>
        <v>12</v>
      </c>
      <c r="X104" s="175">
        <f t="shared" si="44"/>
        <v>6.5</v>
      </c>
      <c r="Y104" s="195">
        <f t="shared" si="45"/>
        <v>0.542</v>
      </c>
      <c r="Z104" s="195">
        <f t="shared" si="46"/>
        <v>1.163</v>
      </c>
      <c r="AA104" s="195">
        <f t="shared" si="47"/>
        <v>0.621</v>
      </c>
      <c r="AB104" s="194"/>
      <c r="AC104" s="196">
        <f t="shared" si="48"/>
        <v>0.751</v>
      </c>
    </row>
    <row r="105" s="174" customFormat="1" ht="14.15" hidden="1" customHeight="1" spans="1:29">
      <c r="A105" s="181">
        <v>117</v>
      </c>
      <c r="B105" s="181" t="s">
        <v>830</v>
      </c>
      <c r="C105" s="181" t="s">
        <v>461</v>
      </c>
      <c r="D105" s="181" t="s">
        <v>831</v>
      </c>
      <c r="E105" s="182">
        <v>16500</v>
      </c>
      <c r="F105" s="182">
        <v>6000</v>
      </c>
      <c r="G105" s="182">
        <v>5000</v>
      </c>
      <c r="H105" s="182">
        <v>5500</v>
      </c>
      <c r="I105" s="185" t="str">
        <f t="shared" si="40"/>
        <v>在建</v>
      </c>
      <c r="J105" s="186">
        <v>11050</v>
      </c>
      <c r="K105" s="32">
        <f t="shared" si="41"/>
        <v>5050</v>
      </c>
      <c r="L105" s="186" t="s">
        <v>832</v>
      </c>
      <c r="M105" s="187">
        <v>44197</v>
      </c>
      <c r="N105" s="188">
        <v>45139</v>
      </c>
      <c r="O105" s="181" t="s">
        <v>464</v>
      </c>
      <c r="P105" s="181" t="s">
        <v>66</v>
      </c>
      <c r="Q105" s="191"/>
      <c r="R105" s="192"/>
      <c r="S105" s="174">
        <f t="shared" si="38"/>
        <v>0</v>
      </c>
      <c r="T105" s="193">
        <f t="shared" si="42"/>
        <v>0</v>
      </c>
      <c r="U105" s="175">
        <f t="shared" si="60"/>
        <v>0</v>
      </c>
      <c r="V105" s="175">
        <f t="shared" si="61"/>
        <v>0</v>
      </c>
      <c r="W105" s="175">
        <f t="shared" si="43"/>
        <v>12</v>
      </c>
      <c r="X105" s="175">
        <f t="shared" si="44"/>
        <v>6.5</v>
      </c>
      <c r="Y105" s="195">
        <f t="shared" si="45"/>
        <v>0.542</v>
      </c>
      <c r="Z105" s="195">
        <f t="shared" si="46"/>
        <v>1.01</v>
      </c>
      <c r="AA105" s="195">
        <f t="shared" si="47"/>
        <v>0.468</v>
      </c>
      <c r="AB105" s="194"/>
      <c r="AC105" s="196">
        <f t="shared" si="48"/>
        <v>0.67</v>
      </c>
    </row>
    <row r="106" s="174" customFormat="1" ht="14.15" hidden="1" customHeight="1" spans="1:29">
      <c r="A106" s="181">
        <v>118</v>
      </c>
      <c r="B106" s="181" t="s">
        <v>833</v>
      </c>
      <c r="C106" s="181" t="s">
        <v>461</v>
      </c>
      <c r="D106" s="181" t="s">
        <v>834</v>
      </c>
      <c r="E106" s="182">
        <v>12500</v>
      </c>
      <c r="F106" s="182">
        <v>0</v>
      </c>
      <c r="G106" s="182">
        <v>7500</v>
      </c>
      <c r="H106" s="182">
        <v>5000</v>
      </c>
      <c r="I106" s="185" t="str">
        <f t="shared" si="40"/>
        <v>在建</v>
      </c>
      <c r="J106" s="186">
        <v>3840</v>
      </c>
      <c r="K106" s="32">
        <f t="shared" si="41"/>
        <v>3840</v>
      </c>
      <c r="L106" s="186" t="s">
        <v>835</v>
      </c>
      <c r="M106" s="187">
        <v>44774</v>
      </c>
      <c r="N106" s="188">
        <v>45505</v>
      </c>
      <c r="O106" s="181" t="s">
        <v>464</v>
      </c>
      <c r="P106" s="181" t="s">
        <v>66</v>
      </c>
      <c r="Q106" s="191"/>
      <c r="R106" s="192"/>
      <c r="S106" s="174">
        <f t="shared" si="38"/>
        <v>0</v>
      </c>
      <c r="T106" s="193">
        <f t="shared" si="42"/>
        <v>0</v>
      </c>
      <c r="U106" s="175">
        <f>IF(I106="完工"," ",2.7)</f>
        <v>2.7</v>
      </c>
      <c r="V106" s="175">
        <f t="shared" si="61"/>
        <v>0</v>
      </c>
      <c r="W106" s="175">
        <f t="shared" si="43"/>
        <v>9.3</v>
      </c>
      <c r="X106" s="175">
        <f t="shared" si="44"/>
        <v>3.8</v>
      </c>
      <c r="Y106" s="195">
        <f t="shared" si="45"/>
        <v>0.409</v>
      </c>
      <c r="Z106" s="195">
        <f t="shared" si="46"/>
        <v>0.512</v>
      </c>
      <c r="AA106" s="195">
        <f t="shared" si="47"/>
        <v>0.103</v>
      </c>
      <c r="AB106" s="194"/>
      <c r="AC106" s="196">
        <f t="shared" si="48"/>
        <v>0.307</v>
      </c>
    </row>
    <row r="107" s="174" customFormat="1" ht="14.15" hidden="1" customHeight="1" spans="1:29">
      <c r="A107" s="181" t="s">
        <v>836</v>
      </c>
      <c r="B107" s="181" t="s">
        <v>837</v>
      </c>
      <c r="C107" s="181" t="s">
        <v>461</v>
      </c>
      <c r="D107" s="181" t="s">
        <v>838</v>
      </c>
      <c r="E107" s="182">
        <v>4600</v>
      </c>
      <c r="F107" s="182">
        <v>0</v>
      </c>
      <c r="G107" s="182">
        <v>4600</v>
      </c>
      <c r="H107" s="182">
        <v>0</v>
      </c>
      <c r="I107" s="185" t="str">
        <f t="shared" si="40"/>
        <v>在建</v>
      </c>
      <c r="J107" s="186">
        <v>3728</v>
      </c>
      <c r="K107" s="32">
        <f t="shared" si="41"/>
        <v>3728</v>
      </c>
      <c r="L107" s="186" t="s">
        <v>839</v>
      </c>
      <c r="M107" s="187">
        <v>44531</v>
      </c>
      <c r="N107" s="188">
        <v>44896</v>
      </c>
      <c r="O107" s="181" t="s">
        <v>464</v>
      </c>
      <c r="P107" s="181" t="s">
        <v>66</v>
      </c>
      <c r="Q107" s="191"/>
      <c r="R107" s="192"/>
      <c r="S107" s="174">
        <f t="shared" si="38"/>
        <v>0</v>
      </c>
      <c r="T107" s="193">
        <f t="shared" si="42"/>
        <v>0</v>
      </c>
      <c r="U107" s="175">
        <f t="shared" ref="U107:U110" si="62">IF(I107="完工"," ",0)</f>
        <v>0</v>
      </c>
      <c r="V107" s="175">
        <f>IF(I107="完工","",0)</f>
        <v>0</v>
      </c>
      <c r="W107" s="175">
        <f t="shared" si="43"/>
        <v>12</v>
      </c>
      <c r="X107" s="175">
        <f t="shared" si="44"/>
        <v>6.5</v>
      </c>
      <c r="Y107" s="195">
        <f t="shared" si="45"/>
        <v>0.542</v>
      </c>
      <c r="Z107" s="195">
        <f t="shared" si="46"/>
        <v>0.81</v>
      </c>
      <c r="AA107" s="195">
        <f t="shared" si="47"/>
        <v>0.268</v>
      </c>
      <c r="AB107" s="194"/>
      <c r="AC107" s="196">
        <f t="shared" si="48"/>
        <v>0.81</v>
      </c>
    </row>
    <row r="108" s="174" customFormat="1" ht="14.15" hidden="1" customHeight="1" spans="1:29">
      <c r="A108" s="181">
        <v>121</v>
      </c>
      <c r="B108" s="181" t="s">
        <v>840</v>
      </c>
      <c r="C108" s="181" t="s">
        <v>461</v>
      </c>
      <c r="D108" s="181" t="s">
        <v>841</v>
      </c>
      <c r="E108" s="182">
        <v>7590.1</v>
      </c>
      <c r="F108" s="182">
        <v>1373</v>
      </c>
      <c r="G108" s="182">
        <v>4650</v>
      </c>
      <c r="H108" s="182">
        <v>1567.1</v>
      </c>
      <c r="I108" s="185" t="str">
        <f t="shared" si="40"/>
        <v>在建</v>
      </c>
      <c r="J108" s="186">
        <v>5903</v>
      </c>
      <c r="K108" s="32">
        <f t="shared" si="41"/>
        <v>4530</v>
      </c>
      <c r="L108" s="186" t="s">
        <v>842</v>
      </c>
      <c r="M108" s="187">
        <v>44470</v>
      </c>
      <c r="N108" s="188">
        <v>45078</v>
      </c>
      <c r="O108" s="181" t="s">
        <v>464</v>
      </c>
      <c r="P108" s="181" t="s">
        <v>66</v>
      </c>
      <c r="Q108" s="191"/>
      <c r="R108" s="192"/>
      <c r="S108" s="174">
        <f t="shared" si="38"/>
        <v>0</v>
      </c>
      <c r="T108" s="193">
        <f t="shared" si="42"/>
        <v>0</v>
      </c>
      <c r="U108" s="175">
        <f t="shared" si="62"/>
        <v>0</v>
      </c>
      <c r="V108" s="175">
        <f>IF(I108="完工"," ",0)</f>
        <v>0</v>
      </c>
      <c r="W108" s="175">
        <f t="shared" si="43"/>
        <v>12</v>
      </c>
      <c r="X108" s="175">
        <f t="shared" si="44"/>
        <v>6.5</v>
      </c>
      <c r="Y108" s="195">
        <f t="shared" si="45"/>
        <v>0.542</v>
      </c>
      <c r="Z108" s="195">
        <f t="shared" si="46"/>
        <v>0.974</v>
      </c>
      <c r="AA108" s="195">
        <f t="shared" si="47"/>
        <v>0.432</v>
      </c>
      <c r="AB108" s="194"/>
      <c r="AC108" s="196">
        <f t="shared" si="48"/>
        <v>0.778</v>
      </c>
    </row>
    <row r="109" s="174" customFormat="1" ht="14.15" hidden="1" customHeight="1" spans="1:29">
      <c r="A109" s="181">
        <v>122</v>
      </c>
      <c r="B109" s="181" t="s">
        <v>843</v>
      </c>
      <c r="C109" s="181" t="s">
        <v>461</v>
      </c>
      <c r="D109" s="181" t="s">
        <v>844</v>
      </c>
      <c r="E109" s="182">
        <v>4660</v>
      </c>
      <c r="F109" s="182">
        <v>3238.46</v>
      </c>
      <c r="G109" s="182">
        <v>1421.54</v>
      </c>
      <c r="H109" s="182">
        <v>0</v>
      </c>
      <c r="I109" s="185" t="str">
        <f t="shared" si="40"/>
        <v>完工</v>
      </c>
      <c r="J109" s="186">
        <v>4660</v>
      </c>
      <c r="K109" s="32">
        <f t="shared" si="41"/>
        <v>1421.54</v>
      </c>
      <c r="L109" s="186" t="s">
        <v>845</v>
      </c>
      <c r="M109" s="187">
        <v>43617</v>
      </c>
      <c r="N109" s="188">
        <v>44896</v>
      </c>
      <c r="O109" s="181" t="s">
        <v>464</v>
      </c>
      <c r="P109" s="181" t="s">
        <v>66</v>
      </c>
      <c r="Q109" s="191"/>
      <c r="R109" s="192"/>
      <c r="S109" s="174">
        <f t="shared" si="38"/>
        <v>0</v>
      </c>
      <c r="T109" s="193" t="str">
        <f t="shared" si="42"/>
        <v/>
      </c>
      <c r="U109" s="175" t="str">
        <f t="shared" si="62"/>
        <v> </v>
      </c>
      <c r="V109" s="175" t="str">
        <f t="shared" ref="V109:V110" si="63">IF(I109="完工","",0)</f>
        <v/>
      </c>
      <c r="W109" s="175" t="str">
        <f t="shared" si="43"/>
        <v/>
      </c>
      <c r="X109" s="175" t="str">
        <f t="shared" si="44"/>
        <v/>
      </c>
      <c r="Y109" s="195" t="str">
        <f t="shared" si="45"/>
        <v/>
      </c>
      <c r="Z109" s="195" t="str">
        <f t="shared" si="46"/>
        <v/>
      </c>
      <c r="AA109" s="195" t="str">
        <f t="shared" si="47"/>
        <v/>
      </c>
      <c r="AB109" s="194"/>
      <c r="AC109" s="196" t="str">
        <f t="shared" si="48"/>
        <v/>
      </c>
    </row>
    <row r="110" s="174" customFormat="1" ht="14.15" hidden="1" customHeight="1" spans="1:29">
      <c r="A110" s="181">
        <v>123</v>
      </c>
      <c r="B110" s="181" t="s">
        <v>846</v>
      </c>
      <c r="C110" s="181" t="s">
        <v>461</v>
      </c>
      <c r="D110" s="181" t="s">
        <v>847</v>
      </c>
      <c r="E110" s="182">
        <v>3273</v>
      </c>
      <c r="F110" s="182">
        <v>1000</v>
      </c>
      <c r="G110" s="182">
        <v>2273</v>
      </c>
      <c r="H110" s="182">
        <v>0</v>
      </c>
      <c r="I110" s="185" t="str">
        <f t="shared" si="40"/>
        <v>在建</v>
      </c>
      <c r="J110" s="186">
        <v>3200</v>
      </c>
      <c r="K110" s="32">
        <f t="shared" si="41"/>
        <v>2200</v>
      </c>
      <c r="L110" s="186" t="s">
        <v>848</v>
      </c>
      <c r="M110" s="187" t="s">
        <v>849</v>
      </c>
      <c r="N110" s="188">
        <v>44926</v>
      </c>
      <c r="O110" s="181" t="s">
        <v>464</v>
      </c>
      <c r="P110" s="181" t="s">
        <v>66</v>
      </c>
      <c r="Q110" s="191"/>
      <c r="R110" s="192"/>
      <c r="S110" s="174">
        <f t="shared" si="38"/>
        <v>0</v>
      </c>
      <c r="T110" s="193">
        <f t="shared" si="42"/>
        <v>0</v>
      </c>
      <c r="U110" s="175">
        <f t="shared" si="62"/>
        <v>0</v>
      </c>
      <c r="V110" s="175">
        <f t="shared" si="63"/>
        <v>0</v>
      </c>
      <c r="W110" s="175">
        <f t="shared" si="43"/>
        <v>12</v>
      </c>
      <c r="X110" s="175">
        <f t="shared" si="44"/>
        <v>6.5</v>
      </c>
      <c r="Y110" s="195">
        <f t="shared" si="45"/>
        <v>0.542</v>
      </c>
      <c r="Z110" s="195">
        <f t="shared" si="46"/>
        <v>0.968</v>
      </c>
      <c r="AA110" s="195">
        <f t="shared" si="47"/>
        <v>0.426</v>
      </c>
      <c r="AB110" s="194"/>
      <c r="AC110" s="196">
        <f t="shared" si="48"/>
        <v>0.978</v>
      </c>
    </row>
    <row r="111" s="174" customFormat="1" ht="14.15" hidden="1" customHeight="1" spans="1:29">
      <c r="A111" s="181">
        <v>124</v>
      </c>
      <c r="B111" s="181" t="s">
        <v>850</v>
      </c>
      <c r="C111" s="181" t="s">
        <v>851</v>
      </c>
      <c r="D111" s="181" t="s">
        <v>852</v>
      </c>
      <c r="E111" s="182">
        <v>6000</v>
      </c>
      <c r="F111" s="182">
        <v>0</v>
      </c>
      <c r="G111" s="182">
        <v>300</v>
      </c>
      <c r="H111" s="182">
        <v>5700</v>
      </c>
      <c r="I111" s="185" t="str">
        <f t="shared" si="40"/>
        <v>在建</v>
      </c>
      <c r="J111" s="186">
        <v>423</v>
      </c>
      <c r="K111" s="32">
        <f t="shared" si="41"/>
        <v>423</v>
      </c>
      <c r="L111" s="186" t="s">
        <v>853</v>
      </c>
      <c r="M111" s="187">
        <v>44713</v>
      </c>
      <c r="N111" s="188">
        <v>45139</v>
      </c>
      <c r="O111" s="181" t="s">
        <v>491</v>
      </c>
      <c r="P111" s="181" t="s">
        <v>42</v>
      </c>
      <c r="Q111" s="191"/>
      <c r="R111" s="192"/>
      <c r="S111" s="174">
        <f t="shared" si="38"/>
        <v>0</v>
      </c>
      <c r="T111" s="193">
        <f t="shared" si="42"/>
        <v>0</v>
      </c>
      <c r="U111" s="175">
        <f>IF(I111="完工"," ",2.7)</f>
        <v>2.7</v>
      </c>
      <c r="V111" s="175">
        <f>IF(I111="完工"," ",0)</f>
        <v>0</v>
      </c>
      <c r="W111" s="175">
        <f t="shared" si="43"/>
        <v>9.3</v>
      </c>
      <c r="X111" s="175">
        <f t="shared" si="44"/>
        <v>3.8</v>
      </c>
      <c r="Y111" s="195">
        <f t="shared" si="45"/>
        <v>0.409</v>
      </c>
      <c r="Z111" s="195">
        <f t="shared" si="46"/>
        <v>1.41</v>
      </c>
      <c r="AA111" s="195">
        <f t="shared" si="47"/>
        <v>1.001</v>
      </c>
      <c r="AB111" s="194"/>
      <c r="AC111" s="196">
        <f t="shared" si="48"/>
        <v>0.071</v>
      </c>
    </row>
    <row r="112" s="174" customFormat="1" ht="14.15" hidden="1" customHeight="1" spans="1:29">
      <c r="A112" s="181">
        <v>125</v>
      </c>
      <c r="B112" s="181" t="s">
        <v>854</v>
      </c>
      <c r="C112" s="181" t="s">
        <v>488</v>
      </c>
      <c r="D112" s="181" t="s">
        <v>855</v>
      </c>
      <c r="E112" s="182">
        <v>323</v>
      </c>
      <c r="F112" s="182">
        <v>0</v>
      </c>
      <c r="G112" s="182">
        <v>323</v>
      </c>
      <c r="H112" s="182">
        <v>0</v>
      </c>
      <c r="I112" s="185" t="str">
        <f t="shared" si="40"/>
        <v>完工</v>
      </c>
      <c r="J112" s="186">
        <v>323</v>
      </c>
      <c r="K112" s="32">
        <f t="shared" si="41"/>
        <v>323</v>
      </c>
      <c r="L112" s="186" t="s">
        <v>856</v>
      </c>
      <c r="M112" s="187">
        <v>44440</v>
      </c>
      <c r="N112" s="188">
        <v>44742</v>
      </c>
      <c r="O112" s="181" t="s">
        <v>491</v>
      </c>
      <c r="P112" s="181" t="s">
        <v>66</v>
      </c>
      <c r="Q112" s="191"/>
      <c r="R112" s="192"/>
      <c r="S112" s="174">
        <f t="shared" si="38"/>
        <v>0</v>
      </c>
      <c r="T112" s="193" t="str">
        <f t="shared" si="42"/>
        <v/>
      </c>
      <c r="U112" s="175" t="str">
        <f t="shared" ref="U112:U120" si="64">IF(I112="完工"," ",0)</f>
        <v> </v>
      </c>
      <c r="V112" s="175" t="str">
        <f>IF(I112="完工"," ",6)</f>
        <v> </v>
      </c>
      <c r="W112" s="175" t="str">
        <f t="shared" si="43"/>
        <v/>
      </c>
      <c r="X112" s="175" t="str">
        <f t="shared" si="44"/>
        <v/>
      </c>
      <c r="Y112" s="195" t="str">
        <f t="shared" si="45"/>
        <v/>
      </c>
      <c r="Z112" s="195" t="str">
        <f t="shared" si="46"/>
        <v/>
      </c>
      <c r="AA112" s="195" t="str">
        <f t="shared" si="47"/>
        <v/>
      </c>
      <c r="AB112" s="194"/>
      <c r="AC112" s="196" t="str">
        <f t="shared" si="48"/>
        <v/>
      </c>
    </row>
    <row r="113" s="174" customFormat="1" ht="14.15" hidden="1" customHeight="1" spans="1:29">
      <c r="A113" s="181">
        <v>126</v>
      </c>
      <c r="B113" s="181" t="s">
        <v>857</v>
      </c>
      <c r="C113" s="181" t="s">
        <v>544</v>
      </c>
      <c r="D113" s="181" t="s">
        <v>858</v>
      </c>
      <c r="E113" s="182">
        <v>160</v>
      </c>
      <c r="F113" s="182">
        <v>160</v>
      </c>
      <c r="G113" s="182">
        <v>0</v>
      </c>
      <c r="H113" s="182">
        <v>0</v>
      </c>
      <c r="I113" s="185" t="str">
        <f t="shared" si="40"/>
        <v>完工</v>
      </c>
      <c r="J113" s="186">
        <v>160</v>
      </c>
      <c r="K113" s="32" t="str">
        <f t="shared" si="41"/>
        <v/>
      </c>
      <c r="L113" s="186" t="s">
        <v>587</v>
      </c>
      <c r="M113" s="187">
        <v>44531</v>
      </c>
      <c r="N113" s="188">
        <v>44531</v>
      </c>
      <c r="O113" s="181" t="s">
        <v>546</v>
      </c>
      <c r="P113" s="181" t="s">
        <v>33</v>
      </c>
      <c r="Q113" s="191"/>
      <c r="R113" s="192"/>
      <c r="S113" s="174">
        <f t="shared" si="38"/>
        <v>0</v>
      </c>
      <c r="T113" s="193" t="str">
        <f t="shared" si="42"/>
        <v/>
      </c>
      <c r="U113" s="175" t="str">
        <f t="shared" si="64"/>
        <v> </v>
      </c>
      <c r="V113" s="175" t="str">
        <f>IF(I113="完工"," ",12)</f>
        <v> </v>
      </c>
      <c r="W113" s="175" t="str">
        <f t="shared" si="43"/>
        <v/>
      </c>
      <c r="X113" s="175" t="str">
        <f t="shared" si="44"/>
        <v/>
      </c>
      <c r="Y113" s="195" t="str">
        <f t="shared" si="45"/>
        <v/>
      </c>
      <c r="Z113" s="195" t="str">
        <f t="shared" si="46"/>
        <v/>
      </c>
      <c r="AA113" s="195" t="str">
        <f t="shared" si="47"/>
        <v/>
      </c>
      <c r="AB113" s="194"/>
      <c r="AC113" s="196" t="str">
        <f t="shared" si="48"/>
        <v/>
      </c>
    </row>
    <row r="114" s="174" customFormat="1" ht="14.15" hidden="1" customHeight="1" spans="1:29">
      <c r="A114" s="181">
        <v>127</v>
      </c>
      <c r="B114" s="181" t="s">
        <v>859</v>
      </c>
      <c r="C114" s="181" t="s">
        <v>544</v>
      </c>
      <c r="D114" s="181" t="s">
        <v>860</v>
      </c>
      <c r="E114" s="182">
        <v>750</v>
      </c>
      <c r="F114" s="182">
        <v>400</v>
      </c>
      <c r="G114" s="182">
        <v>350</v>
      </c>
      <c r="H114" s="182">
        <v>0</v>
      </c>
      <c r="I114" s="185" t="str">
        <f t="shared" si="40"/>
        <v>完工</v>
      </c>
      <c r="J114" s="186">
        <v>750</v>
      </c>
      <c r="K114" s="32">
        <f t="shared" si="41"/>
        <v>350</v>
      </c>
      <c r="L114" s="186" t="s">
        <v>587</v>
      </c>
      <c r="M114" s="187">
        <v>44531</v>
      </c>
      <c r="N114" s="188">
        <v>44682</v>
      </c>
      <c r="O114" s="181" t="s">
        <v>546</v>
      </c>
      <c r="P114" s="181" t="s">
        <v>33</v>
      </c>
      <c r="Q114" s="191"/>
      <c r="R114" s="192"/>
      <c r="S114" s="174">
        <f t="shared" si="38"/>
        <v>0</v>
      </c>
      <c r="T114" s="193" t="str">
        <f t="shared" si="42"/>
        <v/>
      </c>
      <c r="U114" s="175" t="str">
        <f t="shared" si="64"/>
        <v> </v>
      </c>
      <c r="V114" s="175" t="str">
        <f>IF(I114="完工"," ",7)</f>
        <v> </v>
      </c>
      <c r="W114" s="175" t="str">
        <f t="shared" si="43"/>
        <v/>
      </c>
      <c r="X114" s="175" t="str">
        <f t="shared" si="44"/>
        <v/>
      </c>
      <c r="Y114" s="195" t="str">
        <f t="shared" si="45"/>
        <v/>
      </c>
      <c r="Z114" s="195" t="str">
        <f t="shared" si="46"/>
        <v/>
      </c>
      <c r="AA114" s="195" t="str">
        <f t="shared" si="47"/>
        <v/>
      </c>
      <c r="AB114" s="194"/>
      <c r="AC114" s="196" t="str">
        <f t="shared" si="48"/>
        <v/>
      </c>
    </row>
    <row r="115" s="174" customFormat="1" ht="14.15" hidden="1" customHeight="1" spans="1:29">
      <c r="A115" s="181">
        <v>128</v>
      </c>
      <c r="B115" s="181" t="s">
        <v>861</v>
      </c>
      <c r="C115" s="181" t="s">
        <v>544</v>
      </c>
      <c r="D115" s="181" t="s">
        <v>862</v>
      </c>
      <c r="E115" s="182">
        <v>800</v>
      </c>
      <c r="F115" s="182">
        <v>665</v>
      </c>
      <c r="G115" s="182">
        <v>135</v>
      </c>
      <c r="H115" s="182">
        <v>0</v>
      </c>
      <c r="I115" s="185" t="str">
        <f t="shared" si="40"/>
        <v>完工</v>
      </c>
      <c r="J115" s="186">
        <v>800</v>
      </c>
      <c r="K115" s="32">
        <f t="shared" si="41"/>
        <v>135</v>
      </c>
      <c r="L115" s="186" t="s">
        <v>587</v>
      </c>
      <c r="M115" s="187">
        <v>44501</v>
      </c>
      <c r="N115" s="188">
        <v>44651</v>
      </c>
      <c r="O115" s="181" t="s">
        <v>546</v>
      </c>
      <c r="P115" s="181" t="s">
        <v>36</v>
      </c>
      <c r="Q115" s="191"/>
      <c r="R115" s="192"/>
      <c r="S115" s="174">
        <f t="shared" si="38"/>
        <v>0</v>
      </c>
      <c r="T115" s="193" t="str">
        <f t="shared" si="42"/>
        <v/>
      </c>
      <c r="U115" s="175" t="str">
        <f t="shared" si="64"/>
        <v> </v>
      </c>
      <c r="V115" s="175" t="str">
        <f>IF(I115="完工"," ",9)</f>
        <v> </v>
      </c>
      <c r="W115" s="175" t="str">
        <f t="shared" si="43"/>
        <v/>
      </c>
      <c r="X115" s="175" t="str">
        <f t="shared" si="44"/>
        <v/>
      </c>
      <c r="Y115" s="195" t="str">
        <f t="shared" si="45"/>
        <v/>
      </c>
      <c r="Z115" s="195" t="str">
        <f t="shared" si="46"/>
        <v/>
      </c>
      <c r="AA115" s="195" t="str">
        <f t="shared" si="47"/>
        <v/>
      </c>
      <c r="AB115" s="194"/>
      <c r="AC115" s="196" t="str">
        <f t="shared" si="48"/>
        <v/>
      </c>
    </row>
    <row r="116" s="174" customFormat="1" ht="14.15" hidden="1" customHeight="1" spans="1:29">
      <c r="A116" s="181">
        <v>129</v>
      </c>
      <c r="B116" s="181" t="s">
        <v>863</v>
      </c>
      <c r="C116" s="181" t="s">
        <v>544</v>
      </c>
      <c r="D116" s="181" t="s">
        <v>864</v>
      </c>
      <c r="E116" s="182">
        <v>80</v>
      </c>
      <c r="F116" s="182">
        <v>80</v>
      </c>
      <c r="G116" s="182">
        <v>0</v>
      </c>
      <c r="H116" s="182">
        <v>0</v>
      </c>
      <c r="I116" s="185" t="str">
        <f t="shared" si="40"/>
        <v>完工</v>
      </c>
      <c r="J116" s="186">
        <v>80</v>
      </c>
      <c r="K116" s="32" t="str">
        <f t="shared" si="41"/>
        <v/>
      </c>
      <c r="L116" s="186" t="s">
        <v>587</v>
      </c>
      <c r="M116" s="187">
        <v>44440</v>
      </c>
      <c r="N116" s="188">
        <v>44561</v>
      </c>
      <c r="O116" s="181" t="s">
        <v>546</v>
      </c>
      <c r="P116" s="181" t="s">
        <v>36</v>
      </c>
      <c r="Q116" s="191"/>
      <c r="R116" s="192"/>
      <c r="S116" s="174">
        <f t="shared" si="38"/>
        <v>0</v>
      </c>
      <c r="T116" s="193" t="str">
        <f t="shared" si="42"/>
        <v/>
      </c>
      <c r="U116" s="175" t="str">
        <f t="shared" si="64"/>
        <v> </v>
      </c>
      <c r="V116" s="175" t="str">
        <f>IF(I116="完工"," ",12)</f>
        <v> </v>
      </c>
      <c r="W116" s="175" t="str">
        <f t="shared" si="43"/>
        <v/>
      </c>
      <c r="X116" s="175" t="str">
        <f t="shared" si="44"/>
        <v/>
      </c>
      <c r="Y116" s="195" t="str">
        <f t="shared" si="45"/>
        <v/>
      </c>
      <c r="Z116" s="195" t="str">
        <f t="shared" si="46"/>
        <v/>
      </c>
      <c r="AA116" s="195" t="str">
        <f t="shared" si="47"/>
        <v/>
      </c>
      <c r="AB116" s="194"/>
      <c r="AC116" s="196" t="str">
        <f t="shared" si="48"/>
        <v/>
      </c>
    </row>
    <row r="117" s="174" customFormat="1" ht="14.15" hidden="1" customHeight="1" spans="1:29">
      <c r="A117" s="181">
        <v>130</v>
      </c>
      <c r="B117" s="181" t="s">
        <v>865</v>
      </c>
      <c r="C117" s="181" t="s">
        <v>544</v>
      </c>
      <c r="D117" s="181" t="s">
        <v>866</v>
      </c>
      <c r="E117" s="182">
        <v>1000</v>
      </c>
      <c r="F117" s="182">
        <v>800</v>
      </c>
      <c r="G117" s="182">
        <v>200</v>
      </c>
      <c r="H117" s="182">
        <v>0</v>
      </c>
      <c r="I117" s="185" t="str">
        <f t="shared" si="40"/>
        <v>完工</v>
      </c>
      <c r="J117" s="186">
        <v>1000</v>
      </c>
      <c r="K117" s="32">
        <f t="shared" si="41"/>
        <v>200</v>
      </c>
      <c r="L117" s="186" t="s">
        <v>587</v>
      </c>
      <c r="M117" s="187">
        <v>44505</v>
      </c>
      <c r="N117" s="188">
        <v>44926</v>
      </c>
      <c r="O117" s="181" t="s">
        <v>546</v>
      </c>
      <c r="P117" s="181" t="s">
        <v>42</v>
      </c>
      <c r="Q117" s="191"/>
      <c r="R117" s="192"/>
      <c r="S117" s="174">
        <f t="shared" si="38"/>
        <v>0</v>
      </c>
      <c r="T117" s="193" t="str">
        <f t="shared" si="42"/>
        <v/>
      </c>
      <c r="U117" s="175" t="str">
        <f t="shared" si="64"/>
        <v> </v>
      </c>
      <c r="V117" s="175" t="str">
        <f t="shared" ref="V117:V119" si="65">IF(I117="完工","",0)</f>
        <v/>
      </c>
      <c r="W117" s="175" t="str">
        <f t="shared" si="43"/>
        <v/>
      </c>
      <c r="X117" s="175" t="str">
        <f t="shared" si="44"/>
        <v/>
      </c>
      <c r="Y117" s="195" t="str">
        <f t="shared" si="45"/>
        <v/>
      </c>
      <c r="Z117" s="195" t="str">
        <f t="shared" si="46"/>
        <v/>
      </c>
      <c r="AA117" s="195" t="str">
        <f t="shared" si="47"/>
        <v/>
      </c>
      <c r="AB117" s="194"/>
      <c r="AC117" s="196" t="str">
        <f t="shared" si="48"/>
        <v/>
      </c>
    </row>
    <row r="118" s="174" customFormat="1" ht="14.15" hidden="1" customHeight="1" spans="1:29">
      <c r="A118" s="181">
        <v>131</v>
      </c>
      <c r="B118" s="181" t="s">
        <v>867</v>
      </c>
      <c r="C118" s="181" t="s">
        <v>544</v>
      </c>
      <c r="D118" s="181" t="s">
        <v>868</v>
      </c>
      <c r="E118" s="182">
        <v>106.2</v>
      </c>
      <c r="F118" s="182">
        <v>0</v>
      </c>
      <c r="G118" s="182">
        <v>106.2</v>
      </c>
      <c r="H118" s="182">
        <v>0</v>
      </c>
      <c r="I118" s="185" t="str">
        <f t="shared" si="40"/>
        <v>完工</v>
      </c>
      <c r="J118" s="186">
        <v>106.2</v>
      </c>
      <c r="K118" s="32">
        <f t="shared" si="41"/>
        <v>106.2</v>
      </c>
      <c r="L118" s="186" t="s">
        <v>587</v>
      </c>
      <c r="M118" s="187">
        <v>44576</v>
      </c>
      <c r="N118" s="188">
        <v>44926</v>
      </c>
      <c r="O118" s="181" t="s">
        <v>546</v>
      </c>
      <c r="P118" s="181" t="s">
        <v>42</v>
      </c>
      <c r="Q118" s="191"/>
      <c r="R118" s="192"/>
      <c r="S118" s="174">
        <f t="shared" si="38"/>
        <v>0</v>
      </c>
      <c r="T118" s="193" t="str">
        <f t="shared" si="42"/>
        <v/>
      </c>
      <c r="U118" s="175" t="str">
        <f t="shared" si="64"/>
        <v> </v>
      </c>
      <c r="V118" s="175" t="str">
        <f t="shared" si="65"/>
        <v/>
      </c>
      <c r="W118" s="175" t="str">
        <f t="shared" si="43"/>
        <v/>
      </c>
      <c r="X118" s="175" t="str">
        <f t="shared" si="44"/>
        <v/>
      </c>
      <c r="Y118" s="195" t="str">
        <f t="shared" si="45"/>
        <v/>
      </c>
      <c r="Z118" s="195" t="str">
        <f t="shared" si="46"/>
        <v/>
      </c>
      <c r="AA118" s="195" t="str">
        <f t="shared" si="47"/>
        <v/>
      </c>
      <c r="AB118" s="194"/>
      <c r="AC118" s="196" t="str">
        <f t="shared" si="48"/>
        <v/>
      </c>
    </row>
    <row r="119" s="174" customFormat="1" ht="14.15" hidden="1" customHeight="1" spans="1:29">
      <c r="A119" s="181">
        <v>132</v>
      </c>
      <c r="B119" s="181" t="s">
        <v>869</v>
      </c>
      <c r="C119" s="181" t="s">
        <v>544</v>
      </c>
      <c r="D119" s="181" t="s">
        <v>870</v>
      </c>
      <c r="E119" s="182">
        <v>500</v>
      </c>
      <c r="F119" s="182">
        <v>279</v>
      </c>
      <c r="G119" s="182">
        <v>221</v>
      </c>
      <c r="H119" s="182">
        <v>0</v>
      </c>
      <c r="I119" s="185" t="str">
        <f t="shared" si="40"/>
        <v>完工</v>
      </c>
      <c r="J119" s="186">
        <v>500</v>
      </c>
      <c r="K119" s="32">
        <f t="shared" si="41"/>
        <v>221</v>
      </c>
      <c r="L119" s="186" t="s">
        <v>587</v>
      </c>
      <c r="M119" s="187">
        <v>44515</v>
      </c>
      <c r="N119" s="188">
        <v>44926</v>
      </c>
      <c r="O119" s="181" t="s">
        <v>546</v>
      </c>
      <c r="P119" s="181" t="s">
        <v>42</v>
      </c>
      <c r="Q119" s="191"/>
      <c r="R119" s="192"/>
      <c r="S119" s="174">
        <f t="shared" si="38"/>
        <v>0</v>
      </c>
      <c r="T119" s="193" t="str">
        <f t="shared" si="42"/>
        <v/>
      </c>
      <c r="U119" s="175" t="str">
        <f t="shared" si="64"/>
        <v> </v>
      </c>
      <c r="V119" s="175" t="str">
        <f t="shared" si="65"/>
        <v/>
      </c>
      <c r="W119" s="175" t="str">
        <f t="shared" si="43"/>
        <v/>
      </c>
      <c r="X119" s="175" t="str">
        <f t="shared" si="44"/>
        <v/>
      </c>
      <c r="Y119" s="195" t="str">
        <f t="shared" si="45"/>
        <v/>
      </c>
      <c r="Z119" s="195" t="str">
        <f t="shared" si="46"/>
        <v/>
      </c>
      <c r="AA119" s="195" t="str">
        <f t="shared" si="47"/>
        <v/>
      </c>
      <c r="AB119" s="194"/>
      <c r="AC119" s="196" t="str">
        <f t="shared" si="48"/>
        <v/>
      </c>
    </row>
    <row r="120" s="174" customFormat="1" ht="14.15" hidden="1" customHeight="1" spans="1:29">
      <c r="A120" s="181">
        <v>133</v>
      </c>
      <c r="B120" s="181" t="s">
        <v>871</v>
      </c>
      <c r="C120" s="181" t="s">
        <v>872</v>
      </c>
      <c r="D120" s="181" t="s">
        <v>873</v>
      </c>
      <c r="E120" s="182">
        <v>3600</v>
      </c>
      <c r="F120" s="182">
        <v>30</v>
      </c>
      <c r="G120" s="182">
        <v>3570</v>
      </c>
      <c r="H120" s="182">
        <v>0</v>
      </c>
      <c r="I120" s="185" t="str">
        <f t="shared" si="40"/>
        <v>完工</v>
      </c>
      <c r="J120" s="186">
        <v>3600</v>
      </c>
      <c r="K120" s="32">
        <f t="shared" si="41"/>
        <v>3570</v>
      </c>
      <c r="L120" s="186" t="s">
        <v>874</v>
      </c>
      <c r="M120" s="187">
        <v>44440</v>
      </c>
      <c r="N120" s="188">
        <v>45536</v>
      </c>
      <c r="O120" s="181" t="s">
        <v>875</v>
      </c>
      <c r="P120" s="181" t="s">
        <v>42</v>
      </c>
      <c r="Q120" s="191"/>
      <c r="R120" s="192"/>
      <c r="S120" s="174">
        <f t="shared" si="38"/>
        <v>0</v>
      </c>
      <c r="T120" s="193" t="str">
        <f t="shared" si="42"/>
        <v/>
      </c>
      <c r="U120" s="175" t="str">
        <f t="shared" si="64"/>
        <v> </v>
      </c>
      <c r="V120" s="175" t="str">
        <f t="shared" ref="V120:V121" si="66">IF(I120="完工"," ",0)</f>
        <v> </v>
      </c>
      <c r="W120" s="175" t="str">
        <f t="shared" si="43"/>
        <v/>
      </c>
      <c r="X120" s="175" t="str">
        <f t="shared" si="44"/>
        <v/>
      </c>
      <c r="Y120" s="195" t="str">
        <f t="shared" si="45"/>
        <v/>
      </c>
      <c r="Z120" s="195" t="str">
        <f t="shared" si="46"/>
        <v/>
      </c>
      <c r="AA120" s="195" t="str">
        <f t="shared" si="47"/>
        <v/>
      </c>
      <c r="AB120" s="194"/>
      <c r="AC120" s="196" t="str">
        <f t="shared" si="48"/>
        <v/>
      </c>
    </row>
    <row r="121" s="174" customFormat="1" ht="14.15" hidden="1" customHeight="1" spans="1:29">
      <c r="A121" s="181">
        <v>134</v>
      </c>
      <c r="B121" s="181" t="s">
        <v>876</v>
      </c>
      <c r="C121" s="181" t="s">
        <v>872</v>
      </c>
      <c r="D121" s="181" t="s">
        <v>877</v>
      </c>
      <c r="E121" s="182">
        <v>15215</v>
      </c>
      <c r="F121" s="182">
        <v>0</v>
      </c>
      <c r="G121" s="182">
        <v>2600</v>
      </c>
      <c r="H121" s="182">
        <v>12615</v>
      </c>
      <c r="I121" s="185" t="str">
        <f t="shared" si="40"/>
        <v>在建</v>
      </c>
      <c r="J121" s="186">
        <v>2600</v>
      </c>
      <c r="K121" s="32">
        <f t="shared" si="41"/>
        <v>2600</v>
      </c>
      <c r="L121" s="186" t="s">
        <v>878</v>
      </c>
      <c r="M121" s="187">
        <v>44676</v>
      </c>
      <c r="N121" s="188">
        <v>45261</v>
      </c>
      <c r="O121" s="181" t="s">
        <v>875</v>
      </c>
      <c r="P121" s="181" t="s">
        <v>132</v>
      </c>
      <c r="Q121" s="191"/>
      <c r="R121" s="192"/>
      <c r="S121" s="174">
        <f t="shared" si="38"/>
        <v>0</v>
      </c>
      <c r="T121" s="193">
        <f t="shared" si="42"/>
        <v>0</v>
      </c>
      <c r="U121" s="175">
        <f>IF(I121="完工"," ",2.7)</f>
        <v>2.7</v>
      </c>
      <c r="V121" s="175">
        <f t="shared" si="66"/>
        <v>0</v>
      </c>
      <c r="W121" s="175">
        <f t="shared" si="43"/>
        <v>9.3</v>
      </c>
      <c r="X121" s="175">
        <f t="shared" si="44"/>
        <v>3.8</v>
      </c>
      <c r="Y121" s="195">
        <f t="shared" si="45"/>
        <v>0.409</v>
      </c>
      <c r="Z121" s="195">
        <f t="shared" si="46"/>
        <v>1</v>
      </c>
      <c r="AA121" s="195">
        <f t="shared" si="47"/>
        <v>0.591</v>
      </c>
      <c r="AB121" s="194"/>
      <c r="AC121" s="196">
        <f t="shared" si="48"/>
        <v>0.171</v>
      </c>
    </row>
    <row r="122" s="174" customFormat="1" ht="14.15" hidden="1" customHeight="1" spans="1:29">
      <c r="A122" s="181">
        <v>135</v>
      </c>
      <c r="B122" s="181" t="s">
        <v>879</v>
      </c>
      <c r="C122" s="181" t="s">
        <v>880</v>
      </c>
      <c r="D122" s="181" t="s">
        <v>881</v>
      </c>
      <c r="E122" s="182">
        <v>3</v>
      </c>
      <c r="F122" s="182">
        <v>3</v>
      </c>
      <c r="G122" s="182">
        <v>0</v>
      </c>
      <c r="H122" s="182">
        <v>0</v>
      </c>
      <c r="I122" s="185" t="str">
        <f t="shared" si="40"/>
        <v>完工</v>
      </c>
      <c r="J122" s="186">
        <v>3</v>
      </c>
      <c r="K122" s="32" t="str">
        <f t="shared" si="41"/>
        <v/>
      </c>
      <c r="L122" s="186" t="s">
        <v>882</v>
      </c>
      <c r="M122" s="187">
        <v>44378</v>
      </c>
      <c r="N122" s="188">
        <v>44440</v>
      </c>
      <c r="O122" s="181" t="s">
        <v>883</v>
      </c>
      <c r="P122" s="181" t="s">
        <v>39</v>
      </c>
      <c r="Q122" s="191"/>
      <c r="R122" s="192"/>
      <c r="S122" s="174">
        <f t="shared" si="38"/>
        <v>0</v>
      </c>
      <c r="T122" s="193" t="str">
        <f t="shared" si="42"/>
        <v/>
      </c>
      <c r="U122" s="175" t="str">
        <f t="shared" ref="U122:U185" si="67">IF(I122="完工"," ",0)</f>
        <v> </v>
      </c>
      <c r="V122" s="175" t="str">
        <f t="shared" ref="V122:V185" si="68">IF(I122="完工"," ",12)</f>
        <v> </v>
      </c>
      <c r="W122" s="175" t="str">
        <f t="shared" si="43"/>
        <v/>
      </c>
      <c r="X122" s="175" t="str">
        <f t="shared" si="44"/>
        <v/>
      </c>
      <c r="Y122" s="195" t="str">
        <f t="shared" si="45"/>
        <v/>
      </c>
      <c r="Z122" s="195" t="str">
        <f t="shared" si="46"/>
        <v/>
      </c>
      <c r="AA122" s="195" t="str">
        <f t="shared" si="47"/>
        <v/>
      </c>
      <c r="AB122" s="194"/>
      <c r="AC122" s="196" t="str">
        <f t="shared" si="48"/>
        <v/>
      </c>
    </row>
    <row r="123" s="174" customFormat="1" ht="14.15" hidden="1" customHeight="1" spans="1:29">
      <c r="A123" s="181">
        <v>136</v>
      </c>
      <c r="B123" s="181" t="s">
        <v>884</v>
      </c>
      <c r="C123" s="181" t="s">
        <v>880</v>
      </c>
      <c r="D123" s="181" t="s">
        <v>885</v>
      </c>
      <c r="E123" s="182">
        <v>2.94</v>
      </c>
      <c r="F123" s="182">
        <v>2.94</v>
      </c>
      <c r="G123" s="182">
        <v>0</v>
      </c>
      <c r="H123" s="182">
        <v>0</v>
      </c>
      <c r="I123" s="185" t="str">
        <f t="shared" si="40"/>
        <v>完工</v>
      </c>
      <c r="J123" s="186">
        <v>2.94</v>
      </c>
      <c r="K123" s="32" t="str">
        <f t="shared" si="41"/>
        <v/>
      </c>
      <c r="L123" s="186" t="s">
        <v>882</v>
      </c>
      <c r="M123" s="187">
        <v>44378</v>
      </c>
      <c r="N123" s="188">
        <v>44440</v>
      </c>
      <c r="O123" s="181" t="s">
        <v>883</v>
      </c>
      <c r="P123" s="181" t="s">
        <v>39</v>
      </c>
      <c r="Q123" s="191"/>
      <c r="R123" s="192"/>
      <c r="S123" s="174">
        <f t="shared" si="38"/>
        <v>0</v>
      </c>
      <c r="T123" s="193" t="str">
        <f t="shared" si="42"/>
        <v/>
      </c>
      <c r="U123" s="175" t="str">
        <f t="shared" si="67"/>
        <v> </v>
      </c>
      <c r="V123" s="175" t="str">
        <f t="shared" si="68"/>
        <v> </v>
      </c>
      <c r="W123" s="175" t="str">
        <f t="shared" si="43"/>
        <v/>
      </c>
      <c r="X123" s="175" t="str">
        <f t="shared" si="44"/>
        <v/>
      </c>
      <c r="Y123" s="195" t="str">
        <f t="shared" si="45"/>
        <v/>
      </c>
      <c r="Z123" s="195" t="str">
        <f t="shared" si="46"/>
        <v/>
      </c>
      <c r="AA123" s="195" t="str">
        <f t="shared" si="47"/>
        <v/>
      </c>
      <c r="AB123" s="194"/>
      <c r="AC123" s="196" t="str">
        <f t="shared" si="48"/>
        <v/>
      </c>
    </row>
    <row r="124" s="174" customFormat="1" ht="14.15" hidden="1" customHeight="1" spans="1:29">
      <c r="A124" s="181">
        <v>137</v>
      </c>
      <c r="B124" s="181" t="s">
        <v>886</v>
      </c>
      <c r="C124" s="181" t="s">
        <v>880</v>
      </c>
      <c r="D124" s="181" t="s">
        <v>887</v>
      </c>
      <c r="E124" s="182">
        <v>257</v>
      </c>
      <c r="F124" s="182">
        <v>257</v>
      </c>
      <c r="G124" s="182">
        <v>0</v>
      </c>
      <c r="H124" s="182">
        <v>0</v>
      </c>
      <c r="I124" s="185" t="str">
        <f t="shared" si="40"/>
        <v>完工</v>
      </c>
      <c r="J124" s="186">
        <v>257</v>
      </c>
      <c r="K124" s="32" t="str">
        <f t="shared" si="41"/>
        <v/>
      </c>
      <c r="L124" s="186" t="s">
        <v>882</v>
      </c>
      <c r="M124" s="187">
        <v>44378</v>
      </c>
      <c r="N124" s="188">
        <v>44440</v>
      </c>
      <c r="O124" s="181" t="s">
        <v>883</v>
      </c>
      <c r="P124" s="181" t="s">
        <v>39</v>
      </c>
      <c r="Q124" s="191"/>
      <c r="R124" s="192"/>
      <c r="S124" s="174">
        <f t="shared" si="38"/>
        <v>0</v>
      </c>
      <c r="T124" s="193" t="str">
        <f t="shared" si="42"/>
        <v/>
      </c>
      <c r="U124" s="175" t="str">
        <f t="shared" si="67"/>
        <v> </v>
      </c>
      <c r="V124" s="175" t="str">
        <f t="shared" si="68"/>
        <v> </v>
      </c>
      <c r="W124" s="175" t="str">
        <f t="shared" si="43"/>
        <v/>
      </c>
      <c r="X124" s="175" t="str">
        <f t="shared" si="44"/>
        <v/>
      </c>
      <c r="Y124" s="195" t="str">
        <f t="shared" si="45"/>
        <v/>
      </c>
      <c r="Z124" s="195" t="str">
        <f t="shared" si="46"/>
        <v/>
      </c>
      <c r="AA124" s="195" t="str">
        <f t="shared" si="47"/>
        <v/>
      </c>
      <c r="AB124" s="194"/>
      <c r="AC124" s="196" t="str">
        <f t="shared" si="48"/>
        <v/>
      </c>
    </row>
    <row r="125" s="174" customFormat="1" ht="14.15" hidden="1" customHeight="1" spans="1:29">
      <c r="A125" s="181">
        <v>138</v>
      </c>
      <c r="B125" s="181" t="s">
        <v>888</v>
      </c>
      <c r="C125" s="181" t="s">
        <v>880</v>
      </c>
      <c r="D125" s="181" t="s">
        <v>889</v>
      </c>
      <c r="E125" s="182">
        <v>26.32</v>
      </c>
      <c r="F125" s="182">
        <v>26.32</v>
      </c>
      <c r="G125" s="182">
        <v>0</v>
      </c>
      <c r="H125" s="182">
        <v>0</v>
      </c>
      <c r="I125" s="185" t="str">
        <f t="shared" si="40"/>
        <v>完工</v>
      </c>
      <c r="J125" s="186">
        <v>26.32</v>
      </c>
      <c r="K125" s="32" t="str">
        <f t="shared" si="41"/>
        <v/>
      </c>
      <c r="L125" s="186" t="s">
        <v>882</v>
      </c>
      <c r="M125" s="187">
        <v>44378</v>
      </c>
      <c r="N125" s="188">
        <v>44440</v>
      </c>
      <c r="O125" s="181" t="s">
        <v>883</v>
      </c>
      <c r="P125" s="181" t="s">
        <v>39</v>
      </c>
      <c r="Q125" s="191"/>
      <c r="R125" s="192"/>
      <c r="S125" s="174">
        <f t="shared" si="38"/>
        <v>0</v>
      </c>
      <c r="T125" s="193" t="str">
        <f t="shared" si="42"/>
        <v/>
      </c>
      <c r="U125" s="175" t="str">
        <f t="shared" si="67"/>
        <v> </v>
      </c>
      <c r="V125" s="175" t="str">
        <f t="shared" si="68"/>
        <v> </v>
      </c>
      <c r="W125" s="175" t="str">
        <f t="shared" si="43"/>
        <v/>
      </c>
      <c r="X125" s="175" t="str">
        <f t="shared" si="44"/>
        <v/>
      </c>
      <c r="Y125" s="195" t="str">
        <f t="shared" si="45"/>
        <v/>
      </c>
      <c r="Z125" s="195" t="str">
        <f t="shared" si="46"/>
        <v/>
      </c>
      <c r="AA125" s="195" t="str">
        <f t="shared" si="47"/>
        <v/>
      </c>
      <c r="AB125" s="194"/>
      <c r="AC125" s="196" t="str">
        <f t="shared" si="48"/>
        <v/>
      </c>
    </row>
    <row r="126" s="174" customFormat="1" ht="14.15" hidden="1" customHeight="1" spans="1:29">
      <c r="A126" s="181">
        <v>139</v>
      </c>
      <c r="B126" s="181" t="s">
        <v>890</v>
      </c>
      <c r="C126" s="181" t="s">
        <v>880</v>
      </c>
      <c r="D126" s="181" t="s">
        <v>891</v>
      </c>
      <c r="E126" s="182">
        <v>45</v>
      </c>
      <c r="F126" s="182">
        <v>45</v>
      </c>
      <c r="G126" s="182">
        <v>0</v>
      </c>
      <c r="H126" s="182">
        <v>0</v>
      </c>
      <c r="I126" s="185" t="str">
        <f t="shared" si="40"/>
        <v>完工</v>
      </c>
      <c r="J126" s="186">
        <v>45</v>
      </c>
      <c r="K126" s="32" t="str">
        <f t="shared" si="41"/>
        <v/>
      </c>
      <c r="L126" s="186" t="s">
        <v>882</v>
      </c>
      <c r="M126" s="187">
        <v>44378</v>
      </c>
      <c r="N126" s="188">
        <v>44440</v>
      </c>
      <c r="O126" s="181" t="s">
        <v>883</v>
      </c>
      <c r="P126" s="181" t="s">
        <v>39</v>
      </c>
      <c r="Q126" s="191"/>
      <c r="R126" s="192"/>
      <c r="S126" s="174">
        <f t="shared" si="38"/>
        <v>0</v>
      </c>
      <c r="T126" s="193" t="str">
        <f t="shared" si="42"/>
        <v/>
      </c>
      <c r="U126" s="175" t="str">
        <f t="shared" si="67"/>
        <v> </v>
      </c>
      <c r="V126" s="175" t="str">
        <f t="shared" si="68"/>
        <v> </v>
      </c>
      <c r="W126" s="175" t="str">
        <f t="shared" si="43"/>
        <v/>
      </c>
      <c r="X126" s="175" t="str">
        <f t="shared" si="44"/>
        <v/>
      </c>
      <c r="Y126" s="195" t="str">
        <f t="shared" si="45"/>
        <v/>
      </c>
      <c r="Z126" s="195" t="str">
        <f t="shared" si="46"/>
        <v/>
      </c>
      <c r="AA126" s="195" t="str">
        <f t="shared" si="47"/>
        <v/>
      </c>
      <c r="AB126" s="194"/>
      <c r="AC126" s="196" t="str">
        <f t="shared" si="48"/>
        <v/>
      </c>
    </row>
    <row r="127" s="174" customFormat="1" ht="14.15" hidden="1" customHeight="1" spans="1:29">
      <c r="A127" s="181">
        <v>140</v>
      </c>
      <c r="B127" s="181" t="s">
        <v>892</v>
      </c>
      <c r="C127" s="181" t="s">
        <v>880</v>
      </c>
      <c r="D127" s="181" t="s">
        <v>893</v>
      </c>
      <c r="E127" s="182">
        <v>9.158</v>
      </c>
      <c r="F127" s="182">
        <v>9.158</v>
      </c>
      <c r="G127" s="182">
        <v>0</v>
      </c>
      <c r="H127" s="182">
        <v>0</v>
      </c>
      <c r="I127" s="185" t="str">
        <f t="shared" si="40"/>
        <v>完工</v>
      </c>
      <c r="J127" s="186">
        <v>9.158</v>
      </c>
      <c r="K127" s="32" t="str">
        <f t="shared" si="41"/>
        <v/>
      </c>
      <c r="L127" s="186" t="s">
        <v>882</v>
      </c>
      <c r="M127" s="187">
        <v>44378</v>
      </c>
      <c r="N127" s="188">
        <v>44440</v>
      </c>
      <c r="O127" s="181" t="s">
        <v>883</v>
      </c>
      <c r="P127" s="181" t="s">
        <v>39</v>
      </c>
      <c r="Q127" s="191"/>
      <c r="R127" s="192"/>
      <c r="S127" s="174">
        <f t="shared" si="38"/>
        <v>0</v>
      </c>
      <c r="T127" s="193" t="str">
        <f t="shared" si="42"/>
        <v/>
      </c>
      <c r="U127" s="175" t="str">
        <f t="shared" si="67"/>
        <v> </v>
      </c>
      <c r="V127" s="175" t="str">
        <f t="shared" si="68"/>
        <v> </v>
      </c>
      <c r="W127" s="175" t="str">
        <f t="shared" si="43"/>
        <v/>
      </c>
      <c r="X127" s="175" t="str">
        <f t="shared" si="44"/>
        <v/>
      </c>
      <c r="Y127" s="195" t="str">
        <f t="shared" si="45"/>
        <v/>
      </c>
      <c r="Z127" s="195" t="str">
        <f t="shared" si="46"/>
        <v/>
      </c>
      <c r="AA127" s="195" t="str">
        <f t="shared" si="47"/>
        <v/>
      </c>
      <c r="AB127" s="194"/>
      <c r="AC127" s="196" t="str">
        <f t="shared" si="48"/>
        <v/>
      </c>
    </row>
    <row r="128" s="174" customFormat="1" ht="14.15" hidden="1" customHeight="1" spans="1:29">
      <c r="A128" s="181">
        <v>141</v>
      </c>
      <c r="B128" s="181" t="s">
        <v>894</v>
      </c>
      <c r="C128" s="181" t="s">
        <v>880</v>
      </c>
      <c r="D128" s="181" t="s">
        <v>895</v>
      </c>
      <c r="E128" s="182">
        <v>2</v>
      </c>
      <c r="F128" s="182">
        <v>2</v>
      </c>
      <c r="G128" s="182">
        <v>0</v>
      </c>
      <c r="H128" s="182">
        <v>0</v>
      </c>
      <c r="I128" s="185" t="str">
        <f t="shared" si="40"/>
        <v>完工</v>
      </c>
      <c r="J128" s="186">
        <v>2</v>
      </c>
      <c r="K128" s="32" t="str">
        <f t="shared" si="41"/>
        <v/>
      </c>
      <c r="L128" s="186" t="s">
        <v>882</v>
      </c>
      <c r="M128" s="187">
        <v>44378</v>
      </c>
      <c r="N128" s="188">
        <v>44440</v>
      </c>
      <c r="O128" s="181" t="s">
        <v>883</v>
      </c>
      <c r="P128" s="181" t="s">
        <v>39</v>
      </c>
      <c r="Q128" s="191"/>
      <c r="R128" s="192"/>
      <c r="S128" s="174">
        <f t="shared" si="38"/>
        <v>0</v>
      </c>
      <c r="T128" s="193" t="str">
        <f t="shared" si="42"/>
        <v/>
      </c>
      <c r="U128" s="175" t="str">
        <f t="shared" si="67"/>
        <v> </v>
      </c>
      <c r="V128" s="175" t="str">
        <f t="shared" si="68"/>
        <v> </v>
      </c>
      <c r="W128" s="175" t="str">
        <f t="shared" si="43"/>
        <v/>
      </c>
      <c r="X128" s="175" t="str">
        <f t="shared" si="44"/>
        <v/>
      </c>
      <c r="Y128" s="195" t="str">
        <f t="shared" si="45"/>
        <v/>
      </c>
      <c r="Z128" s="195" t="str">
        <f t="shared" si="46"/>
        <v/>
      </c>
      <c r="AA128" s="195" t="str">
        <f t="shared" si="47"/>
        <v/>
      </c>
      <c r="AB128" s="194"/>
      <c r="AC128" s="196" t="str">
        <f t="shared" si="48"/>
        <v/>
      </c>
    </row>
    <row r="129" s="174" customFormat="1" ht="14.15" hidden="1" customHeight="1" spans="1:29">
      <c r="A129" s="181">
        <v>142</v>
      </c>
      <c r="B129" s="181" t="s">
        <v>896</v>
      </c>
      <c r="C129" s="181" t="s">
        <v>880</v>
      </c>
      <c r="D129" s="181" t="s">
        <v>897</v>
      </c>
      <c r="E129" s="182">
        <v>19.1822</v>
      </c>
      <c r="F129" s="182">
        <v>19.1822</v>
      </c>
      <c r="G129" s="182">
        <v>0</v>
      </c>
      <c r="H129" s="182">
        <v>0</v>
      </c>
      <c r="I129" s="185" t="str">
        <f t="shared" si="40"/>
        <v>完工</v>
      </c>
      <c r="J129" s="186">
        <v>19.1822</v>
      </c>
      <c r="K129" s="32" t="str">
        <f t="shared" si="41"/>
        <v/>
      </c>
      <c r="L129" s="186" t="s">
        <v>882</v>
      </c>
      <c r="M129" s="187">
        <v>44378</v>
      </c>
      <c r="N129" s="188">
        <v>44440</v>
      </c>
      <c r="O129" s="181" t="s">
        <v>883</v>
      </c>
      <c r="P129" s="181" t="s">
        <v>39</v>
      </c>
      <c r="Q129" s="191"/>
      <c r="R129" s="192"/>
      <c r="S129" s="174">
        <f t="shared" ref="S129:S192" si="69">E129-F129-G129-H129</f>
        <v>0</v>
      </c>
      <c r="T129" s="193" t="str">
        <f t="shared" si="42"/>
        <v/>
      </c>
      <c r="U129" s="175" t="str">
        <f t="shared" si="67"/>
        <v> </v>
      </c>
      <c r="V129" s="175" t="str">
        <f t="shared" si="68"/>
        <v> </v>
      </c>
      <c r="W129" s="175" t="str">
        <f t="shared" si="43"/>
        <v/>
      </c>
      <c r="X129" s="175" t="str">
        <f t="shared" si="44"/>
        <v/>
      </c>
      <c r="Y129" s="195" t="str">
        <f t="shared" si="45"/>
        <v/>
      </c>
      <c r="Z129" s="195" t="str">
        <f t="shared" si="46"/>
        <v/>
      </c>
      <c r="AA129" s="195" t="str">
        <f t="shared" si="47"/>
        <v/>
      </c>
      <c r="AB129" s="194"/>
      <c r="AC129" s="196" t="str">
        <f t="shared" si="48"/>
        <v/>
      </c>
    </row>
    <row r="130" s="174" customFormat="1" ht="14.15" hidden="1" customHeight="1" spans="1:29">
      <c r="A130" s="181">
        <v>143</v>
      </c>
      <c r="B130" s="181" t="s">
        <v>898</v>
      </c>
      <c r="C130" s="181" t="s">
        <v>880</v>
      </c>
      <c r="D130" s="181" t="s">
        <v>899</v>
      </c>
      <c r="E130" s="182">
        <v>49.8</v>
      </c>
      <c r="F130" s="182">
        <v>49.8</v>
      </c>
      <c r="G130" s="182">
        <v>0</v>
      </c>
      <c r="H130" s="182">
        <v>0</v>
      </c>
      <c r="I130" s="185" t="str">
        <f t="shared" ref="I130:I193" si="70">IF(E130=0,"完工",IF(J130&gt;0,IF(J130=E130,"完工","在建"),"未开工"))</f>
        <v>完工</v>
      </c>
      <c r="J130" s="186">
        <v>49.8</v>
      </c>
      <c r="K130" s="32" t="str">
        <f t="shared" ref="K130:K193" si="71">IF(G130=0,"",J130-F130)</f>
        <v/>
      </c>
      <c r="L130" s="186" t="s">
        <v>882</v>
      </c>
      <c r="M130" s="187">
        <v>44378</v>
      </c>
      <c r="N130" s="188">
        <v>44440</v>
      </c>
      <c r="O130" s="181" t="s">
        <v>883</v>
      </c>
      <c r="P130" s="181" t="s">
        <v>39</v>
      </c>
      <c r="Q130" s="191"/>
      <c r="R130" s="192"/>
      <c r="S130" s="174">
        <f t="shared" si="69"/>
        <v>0</v>
      </c>
      <c r="T130" s="193" t="str">
        <f t="shared" ref="T130:T193" si="72">IF(I130="完工","",J130-F130-K130)</f>
        <v/>
      </c>
      <c r="U130" s="175" t="str">
        <f t="shared" si="67"/>
        <v> </v>
      </c>
      <c r="V130" s="175" t="str">
        <f t="shared" si="68"/>
        <v> </v>
      </c>
      <c r="W130" s="175" t="str">
        <f t="shared" ref="W130:W193" si="73">IF(I130="完工","",12-U130-V130)</f>
        <v/>
      </c>
      <c r="X130" s="175" t="str">
        <f t="shared" ref="X130:X193" si="74">IF(I130="完工","",$AB$2-U130)</f>
        <v/>
      </c>
      <c r="Y130" s="195" t="str">
        <f t="shared" ref="Y130:Y193" si="75">IF(I130="完工","",ROUND(X130/W130,3))</f>
        <v/>
      </c>
      <c r="Z130" s="195" t="str">
        <f t="shared" ref="Z130:Z193" si="76">IF(I130="完工","",ROUND(K130/G130,3))</f>
        <v/>
      </c>
      <c r="AA130" s="195" t="str">
        <f t="shared" ref="AA130:AA193" si="77">IF(I130="完工","",Z130-Y130)</f>
        <v/>
      </c>
      <c r="AB130" s="194"/>
      <c r="AC130" s="196" t="str">
        <f t="shared" ref="AC130:AC193" si="78">IF(E130=0,"",IF(ROUND(J130/E130,3)=1,"",ROUND(J130/E130,3)))</f>
        <v/>
      </c>
    </row>
    <row r="131" s="174" customFormat="1" ht="14.15" hidden="1" customHeight="1" spans="1:29">
      <c r="A131" s="181">
        <v>144</v>
      </c>
      <c r="B131" s="181" t="s">
        <v>900</v>
      </c>
      <c r="C131" s="181" t="s">
        <v>880</v>
      </c>
      <c r="D131" s="181" t="s">
        <v>901</v>
      </c>
      <c r="E131" s="182">
        <v>36.28</v>
      </c>
      <c r="F131" s="182">
        <v>36.28</v>
      </c>
      <c r="G131" s="182">
        <v>0</v>
      </c>
      <c r="H131" s="182">
        <v>0</v>
      </c>
      <c r="I131" s="185" t="str">
        <f t="shared" si="70"/>
        <v>完工</v>
      </c>
      <c r="J131" s="186">
        <v>36.28</v>
      </c>
      <c r="K131" s="32" t="str">
        <f t="shared" si="71"/>
        <v/>
      </c>
      <c r="L131" s="186" t="s">
        <v>882</v>
      </c>
      <c r="M131" s="187">
        <v>44378</v>
      </c>
      <c r="N131" s="188">
        <v>44440</v>
      </c>
      <c r="O131" s="181" t="s">
        <v>883</v>
      </c>
      <c r="P131" s="181" t="s">
        <v>39</v>
      </c>
      <c r="Q131" s="191"/>
      <c r="R131" s="192"/>
      <c r="S131" s="174">
        <f t="shared" si="69"/>
        <v>0</v>
      </c>
      <c r="T131" s="193" t="str">
        <f t="shared" si="72"/>
        <v/>
      </c>
      <c r="U131" s="175" t="str">
        <f t="shared" si="67"/>
        <v> </v>
      </c>
      <c r="V131" s="175" t="str">
        <f t="shared" si="68"/>
        <v> </v>
      </c>
      <c r="W131" s="175" t="str">
        <f t="shared" si="73"/>
        <v/>
      </c>
      <c r="X131" s="175" t="str">
        <f t="shared" si="74"/>
        <v/>
      </c>
      <c r="Y131" s="195" t="str">
        <f t="shared" si="75"/>
        <v/>
      </c>
      <c r="Z131" s="195" t="str">
        <f t="shared" si="76"/>
        <v/>
      </c>
      <c r="AA131" s="195" t="str">
        <f t="shared" si="77"/>
        <v/>
      </c>
      <c r="AB131" s="194"/>
      <c r="AC131" s="196" t="str">
        <f t="shared" si="78"/>
        <v/>
      </c>
    </row>
    <row r="132" s="174" customFormat="1" ht="14.15" hidden="1" customHeight="1" spans="1:29">
      <c r="A132" s="181">
        <v>145</v>
      </c>
      <c r="B132" s="181" t="s">
        <v>902</v>
      </c>
      <c r="C132" s="181" t="s">
        <v>880</v>
      </c>
      <c r="D132" s="181" t="s">
        <v>903</v>
      </c>
      <c r="E132" s="182">
        <v>121.79</v>
      </c>
      <c r="F132" s="182">
        <v>121.79</v>
      </c>
      <c r="G132" s="182">
        <v>0</v>
      </c>
      <c r="H132" s="182">
        <v>0</v>
      </c>
      <c r="I132" s="185" t="str">
        <f t="shared" si="70"/>
        <v>完工</v>
      </c>
      <c r="J132" s="186">
        <v>121.79</v>
      </c>
      <c r="K132" s="32" t="str">
        <f t="shared" si="71"/>
        <v/>
      </c>
      <c r="L132" s="186" t="s">
        <v>882</v>
      </c>
      <c r="M132" s="187">
        <v>44378</v>
      </c>
      <c r="N132" s="188">
        <v>44440</v>
      </c>
      <c r="O132" s="181" t="s">
        <v>883</v>
      </c>
      <c r="P132" s="181" t="s">
        <v>39</v>
      </c>
      <c r="Q132" s="191"/>
      <c r="R132" s="192"/>
      <c r="S132" s="174">
        <f t="shared" si="69"/>
        <v>0</v>
      </c>
      <c r="T132" s="193" t="str">
        <f t="shared" si="72"/>
        <v/>
      </c>
      <c r="U132" s="175" t="str">
        <f t="shared" si="67"/>
        <v> </v>
      </c>
      <c r="V132" s="175" t="str">
        <f t="shared" si="68"/>
        <v> </v>
      </c>
      <c r="W132" s="175" t="str">
        <f t="shared" si="73"/>
        <v/>
      </c>
      <c r="X132" s="175" t="str">
        <f t="shared" si="74"/>
        <v/>
      </c>
      <c r="Y132" s="195" t="str">
        <f t="shared" si="75"/>
        <v/>
      </c>
      <c r="Z132" s="195" t="str">
        <f t="shared" si="76"/>
        <v/>
      </c>
      <c r="AA132" s="195" t="str">
        <f t="shared" si="77"/>
        <v/>
      </c>
      <c r="AB132" s="194"/>
      <c r="AC132" s="196" t="str">
        <f t="shared" si="78"/>
        <v/>
      </c>
    </row>
    <row r="133" s="174" customFormat="1" ht="14.15" hidden="1" customHeight="1" spans="1:29">
      <c r="A133" s="181">
        <v>146</v>
      </c>
      <c r="B133" s="181" t="s">
        <v>904</v>
      </c>
      <c r="C133" s="181" t="s">
        <v>880</v>
      </c>
      <c r="D133" s="181" t="s">
        <v>905</v>
      </c>
      <c r="E133" s="182">
        <v>103</v>
      </c>
      <c r="F133" s="182">
        <v>103</v>
      </c>
      <c r="G133" s="182">
        <v>0</v>
      </c>
      <c r="H133" s="182">
        <v>0</v>
      </c>
      <c r="I133" s="185" t="str">
        <f t="shared" si="70"/>
        <v>完工</v>
      </c>
      <c r="J133" s="186">
        <v>103</v>
      </c>
      <c r="K133" s="32" t="str">
        <f t="shared" si="71"/>
        <v/>
      </c>
      <c r="L133" s="186" t="s">
        <v>882</v>
      </c>
      <c r="M133" s="187">
        <v>44378</v>
      </c>
      <c r="N133" s="188">
        <v>44440</v>
      </c>
      <c r="O133" s="181" t="s">
        <v>883</v>
      </c>
      <c r="P133" s="181" t="s">
        <v>39</v>
      </c>
      <c r="Q133" s="191"/>
      <c r="R133" s="192"/>
      <c r="S133" s="174">
        <f t="shared" si="69"/>
        <v>0</v>
      </c>
      <c r="T133" s="193" t="str">
        <f t="shared" si="72"/>
        <v/>
      </c>
      <c r="U133" s="175" t="str">
        <f t="shared" si="67"/>
        <v> </v>
      </c>
      <c r="V133" s="175" t="str">
        <f t="shared" si="68"/>
        <v> </v>
      </c>
      <c r="W133" s="175" t="str">
        <f t="shared" si="73"/>
        <v/>
      </c>
      <c r="X133" s="175" t="str">
        <f t="shared" si="74"/>
        <v/>
      </c>
      <c r="Y133" s="195" t="str">
        <f t="shared" si="75"/>
        <v/>
      </c>
      <c r="Z133" s="195" t="str">
        <f t="shared" si="76"/>
        <v/>
      </c>
      <c r="AA133" s="195" t="str">
        <f t="shared" si="77"/>
        <v/>
      </c>
      <c r="AB133" s="194"/>
      <c r="AC133" s="196" t="str">
        <f t="shared" si="78"/>
        <v/>
      </c>
    </row>
    <row r="134" s="174" customFormat="1" ht="14.15" hidden="1" customHeight="1" spans="1:29">
      <c r="A134" s="181">
        <v>147</v>
      </c>
      <c r="B134" s="181" t="s">
        <v>906</v>
      </c>
      <c r="C134" s="181" t="s">
        <v>880</v>
      </c>
      <c r="D134" s="181" t="s">
        <v>907</v>
      </c>
      <c r="E134" s="182">
        <v>3</v>
      </c>
      <c r="F134" s="182">
        <v>3</v>
      </c>
      <c r="G134" s="182">
        <v>0</v>
      </c>
      <c r="H134" s="182">
        <v>0</v>
      </c>
      <c r="I134" s="185" t="str">
        <f t="shared" si="70"/>
        <v>完工</v>
      </c>
      <c r="J134" s="186">
        <v>3</v>
      </c>
      <c r="K134" s="32" t="str">
        <f t="shared" si="71"/>
        <v/>
      </c>
      <c r="L134" s="186" t="s">
        <v>882</v>
      </c>
      <c r="M134" s="187">
        <v>44378</v>
      </c>
      <c r="N134" s="188">
        <v>44440</v>
      </c>
      <c r="O134" s="181" t="s">
        <v>883</v>
      </c>
      <c r="P134" s="181" t="s">
        <v>39</v>
      </c>
      <c r="Q134" s="191"/>
      <c r="R134" s="192"/>
      <c r="S134" s="174">
        <f t="shared" si="69"/>
        <v>0</v>
      </c>
      <c r="T134" s="193" t="str">
        <f t="shared" si="72"/>
        <v/>
      </c>
      <c r="U134" s="175" t="str">
        <f t="shared" si="67"/>
        <v> </v>
      </c>
      <c r="V134" s="175" t="str">
        <f t="shared" si="68"/>
        <v> </v>
      </c>
      <c r="W134" s="175" t="str">
        <f t="shared" si="73"/>
        <v/>
      </c>
      <c r="X134" s="175" t="str">
        <f t="shared" si="74"/>
        <v/>
      </c>
      <c r="Y134" s="195" t="str">
        <f t="shared" si="75"/>
        <v/>
      </c>
      <c r="Z134" s="195" t="str">
        <f t="shared" si="76"/>
        <v/>
      </c>
      <c r="AA134" s="195" t="str">
        <f t="shared" si="77"/>
        <v/>
      </c>
      <c r="AB134" s="194"/>
      <c r="AC134" s="196" t="str">
        <f t="shared" si="78"/>
        <v/>
      </c>
    </row>
    <row r="135" s="174" customFormat="1" ht="14.15" hidden="1" customHeight="1" spans="1:29">
      <c r="A135" s="181">
        <v>148</v>
      </c>
      <c r="B135" s="181" t="s">
        <v>908</v>
      </c>
      <c r="C135" s="181" t="s">
        <v>880</v>
      </c>
      <c r="D135" s="181" t="s">
        <v>909</v>
      </c>
      <c r="E135" s="182">
        <v>6.5</v>
      </c>
      <c r="F135" s="182">
        <v>6.5</v>
      </c>
      <c r="G135" s="182">
        <v>0</v>
      </c>
      <c r="H135" s="182">
        <v>0</v>
      </c>
      <c r="I135" s="185" t="str">
        <f t="shared" si="70"/>
        <v>完工</v>
      </c>
      <c r="J135" s="186">
        <v>6.5</v>
      </c>
      <c r="K135" s="32" t="str">
        <f t="shared" si="71"/>
        <v/>
      </c>
      <c r="L135" s="186" t="s">
        <v>882</v>
      </c>
      <c r="M135" s="187">
        <v>44378</v>
      </c>
      <c r="N135" s="188">
        <v>44440</v>
      </c>
      <c r="O135" s="181" t="s">
        <v>883</v>
      </c>
      <c r="P135" s="181" t="s">
        <v>39</v>
      </c>
      <c r="Q135" s="191"/>
      <c r="R135" s="192"/>
      <c r="S135" s="174">
        <f t="shared" si="69"/>
        <v>0</v>
      </c>
      <c r="T135" s="193" t="str">
        <f t="shared" si="72"/>
        <v/>
      </c>
      <c r="U135" s="175" t="str">
        <f t="shared" si="67"/>
        <v> </v>
      </c>
      <c r="V135" s="175" t="str">
        <f t="shared" si="68"/>
        <v> </v>
      </c>
      <c r="W135" s="175" t="str">
        <f t="shared" si="73"/>
        <v/>
      </c>
      <c r="X135" s="175" t="str">
        <f t="shared" si="74"/>
        <v/>
      </c>
      <c r="Y135" s="195" t="str">
        <f t="shared" si="75"/>
        <v/>
      </c>
      <c r="Z135" s="195" t="str">
        <f t="shared" si="76"/>
        <v/>
      </c>
      <c r="AA135" s="195" t="str">
        <f t="shared" si="77"/>
        <v/>
      </c>
      <c r="AB135" s="194"/>
      <c r="AC135" s="196" t="str">
        <f t="shared" si="78"/>
        <v/>
      </c>
    </row>
    <row r="136" s="174" customFormat="1" ht="14.15" hidden="1" customHeight="1" spans="1:29">
      <c r="A136" s="181">
        <v>149</v>
      </c>
      <c r="B136" s="181" t="s">
        <v>910</v>
      </c>
      <c r="C136" s="181" t="s">
        <v>880</v>
      </c>
      <c r="D136" s="181" t="s">
        <v>911</v>
      </c>
      <c r="E136" s="182">
        <v>2.8</v>
      </c>
      <c r="F136" s="182">
        <v>2.8</v>
      </c>
      <c r="G136" s="182">
        <v>0</v>
      </c>
      <c r="H136" s="182">
        <v>0</v>
      </c>
      <c r="I136" s="185" t="str">
        <f t="shared" si="70"/>
        <v>完工</v>
      </c>
      <c r="J136" s="186">
        <v>2.8</v>
      </c>
      <c r="K136" s="32" t="str">
        <f t="shared" si="71"/>
        <v/>
      </c>
      <c r="L136" s="186" t="s">
        <v>882</v>
      </c>
      <c r="M136" s="187">
        <v>44378</v>
      </c>
      <c r="N136" s="188">
        <v>44440</v>
      </c>
      <c r="O136" s="181" t="s">
        <v>883</v>
      </c>
      <c r="P136" s="181" t="s">
        <v>39</v>
      </c>
      <c r="Q136" s="191"/>
      <c r="R136" s="192"/>
      <c r="S136" s="174">
        <f t="shared" si="69"/>
        <v>0</v>
      </c>
      <c r="T136" s="193" t="str">
        <f t="shared" si="72"/>
        <v/>
      </c>
      <c r="U136" s="175" t="str">
        <f t="shared" si="67"/>
        <v> </v>
      </c>
      <c r="V136" s="175" t="str">
        <f t="shared" si="68"/>
        <v> </v>
      </c>
      <c r="W136" s="175" t="str">
        <f t="shared" si="73"/>
        <v/>
      </c>
      <c r="X136" s="175" t="str">
        <f t="shared" si="74"/>
        <v/>
      </c>
      <c r="Y136" s="195" t="str">
        <f t="shared" si="75"/>
        <v/>
      </c>
      <c r="Z136" s="195" t="str">
        <f t="shared" si="76"/>
        <v/>
      </c>
      <c r="AA136" s="195" t="str">
        <f t="shared" si="77"/>
        <v/>
      </c>
      <c r="AB136" s="194"/>
      <c r="AC136" s="196" t="str">
        <f t="shared" si="78"/>
        <v/>
      </c>
    </row>
    <row r="137" s="174" customFormat="1" ht="14.15" hidden="1" customHeight="1" spans="1:29">
      <c r="A137" s="181">
        <v>150</v>
      </c>
      <c r="B137" s="181" t="s">
        <v>912</v>
      </c>
      <c r="C137" s="181" t="s">
        <v>880</v>
      </c>
      <c r="D137" s="181" t="s">
        <v>913</v>
      </c>
      <c r="E137" s="182">
        <v>8.3</v>
      </c>
      <c r="F137" s="182">
        <v>8.3</v>
      </c>
      <c r="G137" s="182">
        <v>0</v>
      </c>
      <c r="H137" s="182">
        <v>0</v>
      </c>
      <c r="I137" s="185" t="str">
        <f t="shared" si="70"/>
        <v>完工</v>
      </c>
      <c r="J137" s="186">
        <v>8.3</v>
      </c>
      <c r="K137" s="32" t="str">
        <f t="shared" si="71"/>
        <v/>
      </c>
      <c r="L137" s="186" t="s">
        <v>882</v>
      </c>
      <c r="M137" s="187">
        <v>44378</v>
      </c>
      <c r="N137" s="188">
        <v>44440</v>
      </c>
      <c r="O137" s="181" t="s">
        <v>883</v>
      </c>
      <c r="P137" s="181" t="s">
        <v>39</v>
      </c>
      <c r="Q137" s="191"/>
      <c r="R137" s="192"/>
      <c r="S137" s="174">
        <f t="shared" si="69"/>
        <v>0</v>
      </c>
      <c r="T137" s="193" t="str">
        <f t="shared" si="72"/>
        <v/>
      </c>
      <c r="U137" s="175" t="str">
        <f t="shared" si="67"/>
        <v> </v>
      </c>
      <c r="V137" s="175" t="str">
        <f t="shared" si="68"/>
        <v> </v>
      </c>
      <c r="W137" s="175" t="str">
        <f t="shared" si="73"/>
        <v/>
      </c>
      <c r="X137" s="175" t="str">
        <f t="shared" si="74"/>
        <v/>
      </c>
      <c r="Y137" s="195" t="str">
        <f t="shared" si="75"/>
        <v/>
      </c>
      <c r="Z137" s="195" t="str">
        <f t="shared" si="76"/>
        <v/>
      </c>
      <c r="AA137" s="195" t="str">
        <f t="shared" si="77"/>
        <v/>
      </c>
      <c r="AB137" s="194"/>
      <c r="AC137" s="196" t="str">
        <f t="shared" si="78"/>
        <v/>
      </c>
    </row>
    <row r="138" s="174" customFormat="1" ht="14.15" hidden="1" customHeight="1" spans="1:29">
      <c r="A138" s="181">
        <v>151</v>
      </c>
      <c r="B138" s="181" t="s">
        <v>914</v>
      </c>
      <c r="C138" s="181" t="s">
        <v>880</v>
      </c>
      <c r="D138" s="181" t="s">
        <v>915</v>
      </c>
      <c r="E138" s="182">
        <v>0</v>
      </c>
      <c r="F138" s="182">
        <v>0</v>
      </c>
      <c r="G138" s="182">
        <v>0</v>
      </c>
      <c r="H138" s="182">
        <v>0</v>
      </c>
      <c r="I138" s="185" t="str">
        <f t="shared" si="70"/>
        <v>完工</v>
      </c>
      <c r="J138" s="186">
        <v>0</v>
      </c>
      <c r="K138" s="32" t="str">
        <f t="shared" si="71"/>
        <v/>
      </c>
      <c r="L138" s="186" t="s">
        <v>882</v>
      </c>
      <c r="M138" s="187">
        <v>44378</v>
      </c>
      <c r="N138" s="188">
        <v>44440</v>
      </c>
      <c r="O138" s="181" t="s">
        <v>883</v>
      </c>
      <c r="P138" s="181" t="s">
        <v>39</v>
      </c>
      <c r="Q138" s="191"/>
      <c r="R138" s="192"/>
      <c r="S138" s="174">
        <f t="shared" si="69"/>
        <v>0</v>
      </c>
      <c r="T138" s="193" t="str">
        <f t="shared" si="72"/>
        <v/>
      </c>
      <c r="U138" s="175" t="str">
        <f t="shared" si="67"/>
        <v> </v>
      </c>
      <c r="V138" s="175" t="str">
        <f t="shared" si="68"/>
        <v> </v>
      </c>
      <c r="W138" s="175" t="str">
        <f t="shared" si="73"/>
        <v/>
      </c>
      <c r="X138" s="175" t="str">
        <f t="shared" si="74"/>
        <v/>
      </c>
      <c r="Y138" s="195" t="str">
        <f t="shared" si="75"/>
        <v/>
      </c>
      <c r="Z138" s="195" t="str">
        <f t="shared" si="76"/>
        <v/>
      </c>
      <c r="AA138" s="195" t="str">
        <f t="shared" si="77"/>
        <v/>
      </c>
      <c r="AB138" s="194"/>
      <c r="AC138" s="196" t="str">
        <f t="shared" si="78"/>
        <v/>
      </c>
    </row>
    <row r="139" s="174" customFormat="1" ht="14.15" hidden="1" customHeight="1" spans="1:29">
      <c r="A139" s="181">
        <v>152</v>
      </c>
      <c r="B139" s="181" t="s">
        <v>916</v>
      </c>
      <c r="C139" s="181" t="s">
        <v>880</v>
      </c>
      <c r="D139" s="181" t="s">
        <v>917</v>
      </c>
      <c r="E139" s="182">
        <v>23</v>
      </c>
      <c r="F139" s="182">
        <v>23</v>
      </c>
      <c r="G139" s="182">
        <v>0</v>
      </c>
      <c r="H139" s="182">
        <v>0</v>
      </c>
      <c r="I139" s="185" t="str">
        <f t="shared" si="70"/>
        <v>完工</v>
      </c>
      <c r="J139" s="186">
        <v>23</v>
      </c>
      <c r="K139" s="32" t="str">
        <f t="shared" si="71"/>
        <v/>
      </c>
      <c r="L139" s="186" t="s">
        <v>882</v>
      </c>
      <c r="M139" s="187">
        <v>44378</v>
      </c>
      <c r="N139" s="188">
        <v>44440</v>
      </c>
      <c r="O139" s="181" t="s">
        <v>883</v>
      </c>
      <c r="P139" s="181" t="s">
        <v>39</v>
      </c>
      <c r="Q139" s="191"/>
      <c r="R139" s="192"/>
      <c r="S139" s="174">
        <f t="shared" si="69"/>
        <v>0</v>
      </c>
      <c r="T139" s="193" t="str">
        <f t="shared" si="72"/>
        <v/>
      </c>
      <c r="U139" s="175" t="str">
        <f t="shared" si="67"/>
        <v> </v>
      </c>
      <c r="V139" s="175" t="str">
        <f t="shared" si="68"/>
        <v> </v>
      </c>
      <c r="W139" s="175" t="str">
        <f t="shared" si="73"/>
        <v/>
      </c>
      <c r="X139" s="175" t="str">
        <f t="shared" si="74"/>
        <v/>
      </c>
      <c r="Y139" s="195" t="str">
        <f t="shared" si="75"/>
        <v/>
      </c>
      <c r="Z139" s="195" t="str">
        <f t="shared" si="76"/>
        <v/>
      </c>
      <c r="AA139" s="195" t="str">
        <f t="shared" si="77"/>
        <v/>
      </c>
      <c r="AB139" s="194"/>
      <c r="AC139" s="196" t="str">
        <f t="shared" si="78"/>
        <v/>
      </c>
    </row>
    <row r="140" s="174" customFormat="1" ht="14.15" hidden="1" customHeight="1" spans="1:29">
      <c r="A140" s="181">
        <v>153</v>
      </c>
      <c r="B140" s="181" t="s">
        <v>918</v>
      </c>
      <c r="C140" s="181" t="s">
        <v>880</v>
      </c>
      <c r="D140" s="181" t="s">
        <v>919</v>
      </c>
      <c r="E140" s="182">
        <v>5</v>
      </c>
      <c r="F140" s="182">
        <v>5</v>
      </c>
      <c r="G140" s="182">
        <v>0</v>
      </c>
      <c r="H140" s="182">
        <v>0</v>
      </c>
      <c r="I140" s="185" t="str">
        <f t="shared" si="70"/>
        <v>完工</v>
      </c>
      <c r="J140" s="186">
        <v>5</v>
      </c>
      <c r="K140" s="32" t="str">
        <f t="shared" si="71"/>
        <v/>
      </c>
      <c r="L140" s="186" t="s">
        <v>882</v>
      </c>
      <c r="M140" s="187">
        <v>44378</v>
      </c>
      <c r="N140" s="188">
        <v>44440</v>
      </c>
      <c r="O140" s="181" t="s">
        <v>883</v>
      </c>
      <c r="P140" s="181" t="s">
        <v>39</v>
      </c>
      <c r="Q140" s="191"/>
      <c r="R140" s="192"/>
      <c r="S140" s="174">
        <f t="shared" si="69"/>
        <v>0</v>
      </c>
      <c r="T140" s="193" t="str">
        <f t="shared" si="72"/>
        <v/>
      </c>
      <c r="U140" s="175" t="str">
        <f t="shared" si="67"/>
        <v> </v>
      </c>
      <c r="V140" s="175" t="str">
        <f t="shared" si="68"/>
        <v> </v>
      </c>
      <c r="W140" s="175" t="str">
        <f t="shared" si="73"/>
        <v/>
      </c>
      <c r="X140" s="175" t="str">
        <f t="shared" si="74"/>
        <v/>
      </c>
      <c r="Y140" s="195" t="str">
        <f t="shared" si="75"/>
        <v/>
      </c>
      <c r="Z140" s="195" t="str">
        <f t="shared" si="76"/>
        <v/>
      </c>
      <c r="AA140" s="195" t="str">
        <f t="shared" si="77"/>
        <v/>
      </c>
      <c r="AB140" s="194"/>
      <c r="AC140" s="196" t="str">
        <f t="shared" si="78"/>
        <v/>
      </c>
    </row>
    <row r="141" s="174" customFormat="1" ht="14.15" hidden="1" customHeight="1" spans="1:29">
      <c r="A141" s="181">
        <v>154</v>
      </c>
      <c r="B141" s="181" t="s">
        <v>920</v>
      </c>
      <c r="C141" s="181" t="s">
        <v>880</v>
      </c>
      <c r="D141" s="181" t="s">
        <v>921</v>
      </c>
      <c r="E141" s="182">
        <v>20</v>
      </c>
      <c r="F141" s="182">
        <v>20</v>
      </c>
      <c r="G141" s="182">
        <v>0</v>
      </c>
      <c r="H141" s="182">
        <v>0</v>
      </c>
      <c r="I141" s="185" t="str">
        <f t="shared" si="70"/>
        <v>完工</v>
      </c>
      <c r="J141" s="186">
        <v>20</v>
      </c>
      <c r="K141" s="32" t="str">
        <f t="shared" si="71"/>
        <v/>
      </c>
      <c r="L141" s="186" t="s">
        <v>882</v>
      </c>
      <c r="M141" s="187">
        <v>44378</v>
      </c>
      <c r="N141" s="188">
        <v>44440</v>
      </c>
      <c r="O141" s="181" t="s">
        <v>883</v>
      </c>
      <c r="P141" s="181" t="s">
        <v>39</v>
      </c>
      <c r="Q141" s="191"/>
      <c r="R141" s="192"/>
      <c r="S141" s="174">
        <f t="shared" si="69"/>
        <v>0</v>
      </c>
      <c r="T141" s="193" t="str">
        <f t="shared" si="72"/>
        <v/>
      </c>
      <c r="U141" s="175" t="str">
        <f t="shared" si="67"/>
        <v> </v>
      </c>
      <c r="V141" s="175" t="str">
        <f t="shared" si="68"/>
        <v> </v>
      </c>
      <c r="W141" s="175" t="str">
        <f t="shared" si="73"/>
        <v/>
      </c>
      <c r="X141" s="175" t="str">
        <f t="shared" si="74"/>
        <v/>
      </c>
      <c r="Y141" s="195" t="str">
        <f t="shared" si="75"/>
        <v/>
      </c>
      <c r="Z141" s="195" t="str">
        <f t="shared" si="76"/>
        <v/>
      </c>
      <c r="AA141" s="195" t="str">
        <f t="shared" si="77"/>
        <v/>
      </c>
      <c r="AB141" s="194"/>
      <c r="AC141" s="196" t="str">
        <f t="shared" si="78"/>
        <v/>
      </c>
    </row>
    <row r="142" s="174" customFormat="1" ht="14.15" hidden="1" customHeight="1" spans="1:29">
      <c r="A142" s="181">
        <v>155</v>
      </c>
      <c r="B142" s="181" t="s">
        <v>922</v>
      </c>
      <c r="C142" s="181" t="s">
        <v>880</v>
      </c>
      <c r="D142" s="181" t="s">
        <v>923</v>
      </c>
      <c r="E142" s="182">
        <v>6</v>
      </c>
      <c r="F142" s="182">
        <v>6</v>
      </c>
      <c r="G142" s="182">
        <v>0</v>
      </c>
      <c r="H142" s="182">
        <v>0</v>
      </c>
      <c r="I142" s="185" t="str">
        <f t="shared" si="70"/>
        <v>完工</v>
      </c>
      <c r="J142" s="186">
        <v>6</v>
      </c>
      <c r="K142" s="32" t="str">
        <f t="shared" si="71"/>
        <v/>
      </c>
      <c r="L142" s="186" t="s">
        <v>882</v>
      </c>
      <c r="M142" s="187">
        <v>44378</v>
      </c>
      <c r="N142" s="188">
        <v>44440</v>
      </c>
      <c r="O142" s="181" t="s">
        <v>883</v>
      </c>
      <c r="P142" s="181" t="s">
        <v>39</v>
      </c>
      <c r="Q142" s="191"/>
      <c r="R142" s="192"/>
      <c r="S142" s="174">
        <f t="shared" si="69"/>
        <v>0</v>
      </c>
      <c r="T142" s="193" t="str">
        <f t="shared" si="72"/>
        <v/>
      </c>
      <c r="U142" s="175" t="str">
        <f t="shared" si="67"/>
        <v> </v>
      </c>
      <c r="V142" s="175" t="str">
        <f t="shared" si="68"/>
        <v> </v>
      </c>
      <c r="W142" s="175" t="str">
        <f t="shared" si="73"/>
        <v/>
      </c>
      <c r="X142" s="175" t="str">
        <f t="shared" si="74"/>
        <v/>
      </c>
      <c r="Y142" s="195" t="str">
        <f t="shared" si="75"/>
        <v/>
      </c>
      <c r="Z142" s="195" t="str">
        <f t="shared" si="76"/>
        <v/>
      </c>
      <c r="AA142" s="195" t="str">
        <f t="shared" si="77"/>
        <v/>
      </c>
      <c r="AB142" s="194"/>
      <c r="AC142" s="196" t="str">
        <f t="shared" si="78"/>
        <v/>
      </c>
    </row>
    <row r="143" s="174" customFormat="1" ht="14.15" hidden="1" customHeight="1" spans="1:29">
      <c r="A143" s="181">
        <v>156</v>
      </c>
      <c r="B143" s="181" t="s">
        <v>924</v>
      </c>
      <c r="C143" s="181" t="s">
        <v>880</v>
      </c>
      <c r="D143" s="181" t="s">
        <v>925</v>
      </c>
      <c r="E143" s="182">
        <v>10.9</v>
      </c>
      <c r="F143" s="182">
        <v>10.9</v>
      </c>
      <c r="G143" s="182">
        <v>0</v>
      </c>
      <c r="H143" s="182">
        <v>0</v>
      </c>
      <c r="I143" s="185" t="str">
        <f t="shared" si="70"/>
        <v>完工</v>
      </c>
      <c r="J143" s="186">
        <v>10.9</v>
      </c>
      <c r="K143" s="32" t="str">
        <f t="shared" si="71"/>
        <v/>
      </c>
      <c r="L143" s="186" t="s">
        <v>882</v>
      </c>
      <c r="M143" s="187">
        <v>44378</v>
      </c>
      <c r="N143" s="188">
        <v>44440</v>
      </c>
      <c r="O143" s="181" t="s">
        <v>883</v>
      </c>
      <c r="P143" s="181" t="s">
        <v>39</v>
      </c>
      <c r="Q143" s="191"/>
      <c r="R143" s="192"/>
      <c r="S143" s="174">
        <f t="shared" si="69"/>
        <v>0</v>
      </c>
      <c r="T143" s="193" t="str">
        <f t="shared" si="72"/>
        <v/>
      </c>
      <c r="U143" s="175" t="str">
        <f t="shared" si="67"/>
        <v> </v>
      </c>
      <c r="V143" s="175" t="str">
        <f t="shared" si="68"/>
        <v> </v>
      </c>
      <c r="W143" s="175" t="str">
        <f t="shared" si="73"/>
        <v/>
      </c>
      <c r="X143" s="175" t="str">
        <f t="shared" si="74"/>
        <v/>
      </c>
      <c r="Y143" s="195" t="str">
        <f t="shared" si="75"/>
        <v/>
      </c>
      <c r="Z143" s="195" t="str">
        <f t="shared" si="76"/>
        <v/>
      </c>
      <c r="AA143" s="195" t="str">
        <f t="shared" si="77"/>
        <v/>
      </c>
      <c r="AB143" s="194"/>
      <c r="AC143" s="196" t="str">
        <f t="shared" si="78"/>
        <v/>
      </c>
    </row>
    <row r="144" s="174" customFormat="1" ht="14.15" hidden="1" customHeight="1" spans="1:29">
      <c r="A144" s="181">
        <v>157</v>
      </c>
      <c r="B144" s="181" t="s">
        <v>926</v>
      </c>
      <c r="C144" s="181" t="s">
        <v>880</v>
      </c>
      <c r="D144" s="181" t="s">
        <v>927</v>
      </c>
      <c r="E144" s="182">
        <v>0.1</v>
      </c>
      <c r="F144" s="182">
        <v>0.1</v>
      </c>
      <c r="G144" s="182">
        <v>0</v>
      </c>
      <c r="H144" s="182">
        <v>0</v>
      </c>
      <c r="I144" s="185" t="str">
        <f t="shared" si="70"/>
        <v>完工</v>
      </c>
      <c r="J144" s="186">
        <v>0.1</v>
      </c>
      <c r="K144" s="32" t="str">
        <f t="shared" si="71"/>
        <v/>
      </c>
      <c r="L144" s="186" t="s">
        <v>882</v>
      </c>
      <c r="M144" s="187">
        <v>44378</v>
      </c>
      <c r="N144" s="188">
        <v>44440</v>
      </c>
      <c r="O144" s="181" t="s">
        <v>883</v>
      </c>
      <c r="P144" s="181" t="s">
        <v>39</v>
      </c>
      <c r="Q144" s="191"/>
      <c r="R144" s="192"/>
      <c r="S144" s="174">
        <f t="shared" si="69"/>
        <v>0</v>
      </c>
      <c r="T144" s="193" t="str">
        <f t="shared" si="72"/>
        <v/>
      </c>
      <c r="U144" s="175" t="str">
        <f t="shared" si="67"/>
        <v> </v>
      </c>
      <c r="V144" s="175" t="str">
        <f t="shared" si="68"/>
        <v> </v>
      </c>
      <c r="W144" s="175" t="str">
        <f t="shared" si="73"/>
        <v/>
      </c>
      <c r="X144" s="175" t="str">
        <f t="shared" si="74"/>
        <v/>
      </c>
      <c r="Y144" s="195" t="str">
        <f t="shared" si="75"/>
        <v/>
      </c>
      <c r="Z144" s="195" t="str">
        <f t="shared" si="76"/>
        <v/>
      </c>
      <c r="AA144" s="195" t="str">
        <f t="shared" si="77"/>
        <v/>
      </c>
      <c r="AB144" s="194"/>
      <c r="AC144" s="196" t="str">
        <f t="shared" si="78"/>
        <v/>
      </c>
    </row>
    <row r="145" s="174" customFormat="1" ht="14.15" hidden="1" customHeight="1" spans="1:29">
      <c r="A145" s="181">
        <v>158</v>
      </c>
      <c r="B145" s="181" t="s">
        <v>928</v>
      </c>
      <c r="C145" s="181" t="s">
        <v>880</v>
      </c>
      <c r="D145" s="181" t="s">
        <v>929</v>
      </c>
      <c r="E145" s="182">
        <v>2</v>
      </c>
      <c r="F145" s="182">
        <v>2</v>
      </c>
      <c r="G145" s="182">
        <v>0</v>
      </c>
      <c r="H145" s="182">
        <v>0</v>
      </c>
      <c r="I145" s="185" t="str">
        <f t="shared" si="70"/>
        <v>完工</v>
      </c>
      <c r="J145" s="186">
        <v>2</v>
      </c>
      <c r="K145" s="32" t="str">
        <f t="shared" si="71"/>
        <v/>
      </c>
      <c r="L145" s="186" t="s">
        <v>882</v>
      </c>
      <c r="M145" s="187">
        <v>44378</v>
      </c>
      <c r="N145" s="188">
        <v>44440</v>
      </c>
      <c r="O145" s="181" t="s">
        <v>883</v>
      </c>
      <c r="P145" s="181" t="s">
        <v>39</v>
      </c>
      <c r="Q145" s="191"/>
      <c r="R145" s="192"/>
      <c r="S145" s="174">
        <f t="shared" si="69"/>
        <v>0</v>
      </c>
      <c r="T145" s="193" t="str">
        <f t="shared" si="72"/>
        <v/>
      </c>
      <c r="U145" s="175" t="str">
        <f t="shared" si="67"/>
        <v> </v>
      </c>
      <c r="V145" s="175" t="str">
        <f t="shared" si="68"/>
        <v> </v>
      </c>
      <c r="W145" s="175" t="str">
        <f t="shared" si="73"/>
        <v/>
      </c>
      <c r="X145" s="175" t="str">
        <f t="shared" si="74"/>
        <v/>
      </c>
      <c r="Y145" s="195" t="str">
        <f t="shared" si="75"/>
        <v/>
      </c>
      <c r="Z145" s="195" t="str">
        <f t="shared" si="76"/>
        <v/>
      </c>
      <c r="AA145" s="195" t="str">
        <f t="shared" si="77"/>
        <v/>
      </c>
      <c r="AB145" s="194"/>
      <c r="AC145" s="196" t="str">
        <f t="shared" si="78"/>
        <v/>
      </c>
    </row>
    <row r="146" s="174" customFormat="1" ht="14.15" hidden="1" customHeight="1" spans="1:29">
      <c r="A146" s="181">
        <v>159</v>
      </c>
      <c r="B146" s="181" t="s">
        <v>930</v>
      </c>
      <c r="C146" s="181" t="s">
        <v>880</v>
      </c>
      <c r="D146" s="181" t="s">
        <v>931</v>
      </c>
      <c r="E146" s="182">
        <v>4</v>
      </c>
      <c r="F146" s="182">
        <v>4</v>
      </c>
      <c r="G146" s="182">
        <v>0</v>
      </c>
      <c r="H146" s="182">
        <v>0</v>
      </c>
      <c r="I146" s="185" t="str">
        <f t="shared" si="70"/>
        <v>完工</v>
      </c>
      <c r="J146" s="186">
        <v>4</v>
      </c>
      <c r="K146" s="32" t="str">
        <f t="shared" si="71"/>
        <v/>
      </c>
      <c r="L146" s="186" t="s">
        <v>882</v>
      </c>
      <c r="M146" s="187">
        <v>44378</v>
      </c>
      <c r="N146" s="188">
        <v>44440</v>
      </c>
      <c r="O146" s="181" t="s">
        <v>883</v>
      </c>
      <c r="P146" s="181" t="s">
        <v>39</v>
      </c>
      <c r="Q146" s="191"/>
      <c r="R146" s="192"/>
      <c r="S146" s="174">
        <f t="shared" si="69"/>
        <v>0</v>
      </c>
      <c r="T146" s="193" t="str">
        <f t="shared" si="72"/>
        <v/>
      </c>
      <c r="U146" s="175" t="str">
        <f t="shared" si="67"/>
        <v> </v>
      </c>
      <c r="V146" s="175" t="str">
        <f t="shared" si="68"/>
        <v> </v>
      </c>
      <c r="W146" s="175" t="str">
        <f t="shared" si="73"/>
        <v/>
      </c>
      <c r="X146" s="175" t="str">
        <f t="shared" si="74"/>
        <v/>
      </c>
      <c r="Y146" s="195" t="str">
        <f t="shared" si="75"/>
        <v/>
      </c>
      <c r="Z146" s="195" t="str">
        <f t="shared" si="76"/>
        <v/>
      </c>
      <c r="AA146" s="195" t="str">
        <f t="shared" si="77"/>
        <v/>
      </c>
      <c r="AB146" s="194"/>
      <c r="AC146" s="196" t="str">
        <f t="shared" si="78"/>
        <v/>
      </c>
    </row>
    <row r="147" s="174" customFormat="1" ht="14.15" hidden="1" customHeight="1" spans="1:29">
      <c r="A147" s="181">
        <v>160</v>
      </c>
      <c r="B147" s="181" t="s">
        <v>932</v>
      </c>
      <c r="C147" s="181" t="s">
        <v>880</v>
      </c>
      <c r="D147" s="181" t="s">
        <v>933</v>
      </c>
      <c r="E147" s="182">
        <v>1.5</v>
      </c>
      <c r="F147" s="182">
        <v>1.5</v>
      </c>
      <c r="G147" s="182">
        <v>0</v>
      </c>
      <c r="H147" s="182">
        <v>0</v>
      </c>
      <c r="I147" s="185" t="str">
        <f t="shared" si="70"/>
        <v>完工</v>
      </c>
      <c r="J147" s="186">
        <v>1.5</v>
      </c>
      <c r="K147" s="32" t="str">
        <f t="shared" si="71"/>
        <v/>
      </c>
      <c r="L147" s="186" t="s">
        <v>882</v>
      </c>
      <c r="M147" s="187">
        <v>44378</v>
      </c>
      <c r="N147" s="188">
        <v>44440</v>
      </c>
      <c r="O147" s="181" t="s">
        <v>883</v>
      </c>
      <c r="P147" s="181" t="s">
        <v>39</v>
      </c>
      <c r="Q147" s="191"/>
      <c r="R147" s="192"/>
      <c r="S147" s="174">
        <f t="shared" si="69"/>
        <v>0</v>
      </c>
      <c r="T147" s="193" t="str">
        <f t="shared" si="72"/>
        <v/>
      </c>
      <c r="U147" s="175" t="str">
        <f t="shared" si="67"/>
        <v> </v>
      </c>
      <c r="V147" s="175" t="str">
        <f t="shared" si="68"/>
        <v> </v>
      </c>
      <c r="W147" s="175" t="str">
        <f t="shared" si="73"/>
        <v/>
      </c>
      <c r="X147" s="175" t="str">
        <f t="shared" si="74"/>
        <v/>
      </c>
      <c r="Y147" s="195" t="str">
        <f t="shared" si="75"/>
        <v/>
      </c>
      <c r="Z147" s="195" t="str">
        <f t="shared" si="76"/>
        <v/>
      </c>
      <c r="AA147" s="195" t="str">
        <f t="shared" si="77"/>
        <v/>
      </c>
      <c r="AB147" s="194"/>
      <c r="AC147" s="196" t="str">
        <f t="shared" si="78"/>
        <v/>
      </c>
    </row>
    <row r="148" s="174" customFormat="1" ht="14.15" hidden="1" customHeight="1" spans="1:29">
      <c r="A148" s="181">
        <v>161</v>
      </c>
      <c r="B148" s="181" t="s">
        <v>934</v>
      </c>
      <c r="C148" s="181" t="s">
        <v>880</v>
      </c>
      <c r="D148" s="181" t="s">
        <v>935</v>
      </c>
      <c r="E148" s="182">
        <v>1</v>
      </c>
      <c r="F148" s="182">
        <v>1</v>
      </c>
      <c r="G148" s="182">
        <v>0</v>
      </c>
      <c r="H148" s="182">
        <v>0</v>
      </c>
      <c r="I148" s="185" t="str">
        <f t="shared" si="70"/>
        <v>完工</v>
      </c>
      <c r="J148" s="186">
        <v>1</v>
      </c>
      <c r="K148" s="32" t="str">
        <f t="shared" si="71"/>
        <v/>
      </c>
      <c r="L148" s="186" t="s">
        <v>882</v>
      </c>
      <c r="M148" s="187">
        <v>44378</v>
      </c>
      <c r="N148" s="188">
        <v>44440</v>
      </c>
      <c r="O148" s="181" t="s">
        <v>883</v>
      </c>
      <c r="P148" s="181" t="s">
        <v>39</v>
      </c>
      <c r="Q148" s="191"/>
      <c r="R148" s="192"/>
      <c r="S148" s="174">
        <f t="shared" si="69"/>
        <v>0</v>
      </c>
      <c r="T148" s="193" t="str">
        <f t="shared" si="72"/>
        <v/>
      </c>
      <c r="U148" s="175" t="str">
        <f t="shared" si="67"/>
        <v> </v>
      </c>
      <c r="V148" s="175" t="str">
        <f t="shared" si="68"/>
        <v> </v>
      </c>
      <c r="W148" s="175" t="str">
        <f t="shared" si="73"/>
        <v/>
      </c>
      <c r="X148" s="175" t="str">
        <f t="shared" si="74"/>
        <v/>
      </c>
      <c r="Y148" s="195" t="str">
        <f t="shared" si="75"/>
        <v/>
      </c>
      <c r="Z148" s="195" t="str">
        <f t="shared" si="76"/>
        <v/>
      </c>
      <c r="AA148" s="195" t="str">
        <f t="shared" si="77"/>
        <v/>
      </c>
      <c r="AB148" s="194"/>
      <c r="AC148" s="196" t="str">
        <f t="shared" si="78"/>
        <v/>
      </c>
    </row>
    <row r="149" s="174" customFormat="1" ht="14.15" hidden="1" customHeight="1" spans="1:29">
      <c r="A149" s="181">
        <v>162</v>
      </c>
      <c r="B149" s="181" t="s">
        <v>936</v>
      </c>
      <c r="C149" s="181" t="s">
        <v>880</v>
      </c>
      <c r="D149" s="181" t="s">
        <v>937</v>
      </c>
      <c r="E149" s="182">
        <v>1.8</v>
      </c>
      <c r="F149" s="182">
        <v>1.8</v>
      </c>
      <c r="G149" s="182">
        <v>0</v>
      </c>
      <c r="H149" s="182">
        <v>0</v>
      </c>
      <c r="I149" s="185" t="str">
        <f t="shared" si="70"/>
        <v>完工</v>
      </c>
      <c r="J149" s="186">
        <v>1.8</v>
      </c>
      <c r="K149" s="32" t="str">
        <f t="shared" si="71"/>
        <v/>
      </c>
      <c r="L149" s="186" t="s">
        <v>882</v>
      </c>
      <c r="M149" s="187">
        <v>44378</v>
      </c>
      <c r="N149" s="188">
        <v>44440</v>
      </c>
      <c r="O149" s="181" t="s">
        <v>883</v>
      </c>
      <c r="P149" s="181" t="s">
        <v>39</v>
      </c>
      <c r="Q149" s="191"/>
      <c r="R149" s="192"/>
      <c r="S149" s="174">
        <f t="shared" si="69"/>
        <v>0</v>
      </c>
      <c r="T149" s="193" t="str">
        <f t="shared" si="72"/>
        <v/>
      </c>
      <c r="U149" s="175" t="str">
        <f t="shared" si="67"/>
        <v> </v>
      </c>
      <c r="V149" s="175" t="str">
        <f t="shared" si="68"/>
        <v> </v>
      </c>
      <c r="W149" s="175" t="str">
        <f t="shared" si="73"/>
        <v/>
      </c>
      <c r="X149" s="175" t="str">
        <f t="shared" si="74"/>
        <v/>
      </c>
      <c r="Y149" s="195" t="str">
        <f t="shared" si="75"/>
        <v/>
      </c>
      <c r="Z149" s="195" t="str">
        <f t="shared" si="76"/>
        <v/>
      </c>
      <c r="AA149" s="195" t="str">
        <f t="shared" si="77"/>
        <v/>
      </c>
      <c r="AB149" s="194"/>
      <c r="AC149" s="196" t="str">
        <f t="shared" si="78"/>
        <v/>
      </c>
    </row>
    <row r="150" s="174" customFormat="1" ht="14.15" hidden="1" customHeight="1" spans="1:29">
      <c r="A150" s="181">
        <v>163</v>
      </c>
      <c r="B150" s="181" t="s">
        <v>938</v>
      </c>
      <c r="C150" s="181" t="s">
        <v>880</v>
      </c>
      <c r="D150" s="181" t="s">
        <v>939</v>
      </c>
      <c r="E150" s="182">
        <v>5.5</v>
      </c>
      <c r="F150" s="182">
        <v>5.5</v>
      </c>
      <c r="G150" s="182">
        <v>0</v>
      </c>
      <c r="H150" s="182">
        <v>0</v>
      </c>
      <c r="I150" s="185" t="str">
        <f t="shared" si="70"/>
        <v>完工</v>
      </c>
      <c r="J150" s="186">
        <v>5.5</v>
      </c>
      <c r="K150" s="32" t="str">
        <f t="shared" si="71"/>
        <v/>
      </c>
      <c r="L150" s="186" t="s">
        <v>882</v>
      </c>
      <c r="M150" s="187">
        <v>44378</v>
      </c>
      <c r="N150" s="188">
        <v>44440</v>
      </c>
      <c r="O150" s="181" t="s">
        <v>883</v>
      </c>
      <c r="P150" s="181" t="s">
        <v>39</v>
      </c>
      <c r="Q150" s="191"/>
      <c r="R150" s="192"/>
      <c r="S150" s="174">
        <f t="shared" si="69"/>
        <v>0</v>
      </c>
      <c r="T150" s="193" t="str">
        <f t="shared" si="72"/>
        <v/>
      </c>
      <c r="U150" s="175" t="str">
        <f t="shared" si="67"/>
        <v> </v>
      </c>
      <c r="V150" s="175" t="str">
        <f t="shared" si="68"/>
        <v> </v>
      </c>
      <c r="W150" s="175" t="str">
        <f t="shared" si="73"/>
        <v/>
      </c>
      <c r="X150" s="175" t="str">
        <f t="shared" si="74"/>
        <v/>
      </c>
      <c r="Y150" s="195" t="str">
        <f t="shared" si="75"/>
        <v/>
      </c>
      <c r="Z150" s="195" t="str">
        <f t="shared" si="76"/>
        <v/>
      </c>
      <c r="AA150" s="195" t="str">
        <f t="shared" si="77"/>
        <v/>
      </c>
      <c r="AB150" s="194"/>
      <c r="AC150" s="196" t="str">
        <f t="shared" si="78"/>
        <v/>
      </c>
    </row>
    <row r="151" s="174" customFormat="1" ht="14.15" hidden="1" customHeight="1" spans="1:29">
      <c r="A151" s="181">
        <v>164</v>
      </c>
      <c r="B151" s="181" t="s">
        <v>940</v>
      </c>
      <c r="C151" s="181" t="s">
        <v>880</v>
      </c>
      <c r="D151" s="181" t="s">
        <v>941</v>
      </c>
      <c r="E151" s="182">
        <v>6.5</v>
      </c>
      <c r="F151" s="182">
        <v>6.5</v>
      </c>
      <c r="G151" s="182">
        <v>0</v>
      </c>
      <c r="H151" s="182">
        <v>0</v>
      </c>
      <c r="I151" s="185" t="str">
        <f t="shared" si="70"/>
        <v>完工</v>
      </c>
      <c r="J151" s="186">
        <v>6.5</v>
      </c>
      <c r="K151" s="32" t="str">
        <f t="shared" si="71"/>
        <v/>
      </c>
      <c r="L151" s="186" t="s">
        <v>882</v>
      </c>
      <c r="M151" s="187">
        <v>44378</v>
      </c>
      <c r="N151" s="188">
        <v>44440</v>
      </c>
      <c r="O151" s="181" t="s">
        <v>883</v>
      </c>
      <c r="P151" s="181" t="s">
        <v>39</v>
      </c>
      <c r="Q151" s="191"/>
      <c r="R151" s="192"/>
      <c r="S151" s="174">
        <f t="shared" si="69"/>
        <v>0</v>
      </c>
      <c r="T151" s="193" t="str">
        <f t="shared" si="72"/>
        <v/>
      </c>
      <c r="U151" s="175" t="str">
        <f t="shared" si="67"/>
        <v> </v>
      </c>
      <c r="V151" s="175" t="str">
        <f t="shared" si="68"/>
        <v> </v>
      </c>
      <c r="W151" s="175" t="str">
        <f t="shared" si="73"/>
        <v/>
      </c>
      <c r="X151" s="175" t="str">
        <f t="shared" si="74"/>
        <v/>
      </c>
      <c r="Y151" s="195" t="str">
        <f t="shared" si="75"/>
        <v/>
      </c>
      <c r="Z151" s="195" t="str">
        <f t="shared" si="76"/>
        <v/>
      </c>
      <c r="AA151" s="195" t="str">
        <f t="shared" si="77"/>
        <v/>
      </c>
      <c r="AB151" s="194"/>
      <c r="AC151" s="196" t="str">
        <f t="shared" si="78"/>
        <v/>
      </c>
    </row>
    <row r="152" s="174" customFormat="1" ht="14.15" hidden="1" customHeight="1" spans="1:29">
      <c r="A152" s="181">
        <v>165</v>
      </c>
      <c r="B152" s="181" t="s">
        <v>942</v>
      </c>
      <c r="C152" s="181" t="s">
        <v>880</v>
      </c>
      <c r="D152" s="181" t="s">
        <v>943</v>
      </c>
      <c r="E152" s="182">
        <v>3</v>
      </c>
      <c r="F152" s="182">
        <v>3</v>
      </c>
      <c r="G152" s="182">
        <v>0</v>
      </c>
      <c r="H152" s="182">
        <v>0</v>
      </c>
      <c r="I152" s="185" t="str">
        <f t="shared" si="70"/>
        <v>完工</v>
      </c>
      <c r="J152" s="186">
        <v>3</v>
      </c>
      <c r="K152" s="32" t="str">
        <f t="shared" si="71"/>
        <v/>
      </c>
      <c r="L152" s="186" t="s">
        <v>882</v>
      </c>
      <c r="M152" s="187">
        <v>44378</v>
      </c>
      <c r="N152" s="188">
        <v>44440</v>
      </c>
      <c r="O152" s="181" t="s">
        <v>883</v>
      </c>
      <c r="P152" s="181" t="s">
        <v>39</v>
      </c>
      <c r="Q152" s="191"/>
      <c r="R152" s="192"/>
      <c r="S152" s="174">
        <f t="shared" si="69"/>
        <v>0</v>
      </c>
      <c r="T152" s="193" t="str">
        <f t="shared" si="72"/>
        <v/>
      </c>
      <c r="U152" s="175" t="str">
        <f t="shared" si="67"/>
        <v> </v>
      </c>
      <c r="V152" s="175" t="str">
        <f t="shared" si="68"/>
        <v> </v>
      </c>
      <c r="W152" s="175" t="str">
        <f t="shared" si="73"/>
        <v/>
      </c>
      <c r="X152" s="175" t="str">
        <f t="shared" si="74"/>
        <v/>
      </c>
      <c r="Y152" s="195" t="str">
        <f t="shared" si="75"/>
        <v/>
      </c>
      <c r="Z152" s="195" t="str">
        <f t="shared" si="76"/>
        <v/>
      </c>
      <c r="AA152" s="195" t="str">
        <f t="shared" si="77"/>
        <v/>
      </c>
      <c r="AB152" s="194"/>
      <c r="AC152" s="196" t="str">
        <f t="shared" si="78"/>
        <v/>
      </c>
    </row>
    <row r="153" s="174" customFormat="1" ht="14.15" hidden="1" customHeight="1" spans="1:29">
      <c r="A153" s="181">
        <v>166</v>
      </c>
      <c r="B153" s="181" t="s">
        <v>944</v>
      </c>
      <c r="C153" s="181" t="s">
        <v>880</v>
      </c>
      <c r="D153" s="181" t="s">
        <v>945</v>
      </c>
      <c r="E153" s="182">
        <v>4</v>
      </c>
      <c r="F153" s="182">
        <v>4</v>
      </c>
      <c r="G153" s="182">
        <v>0</v>
      </c>
      <c r="H153" s="182">
        <v>0</v>
      </c>
      <c r="I153" s="185" t="str">
        <f t="shared" si="70"/>
        <v>完工</v>
      </c>
      <c r="J153" s="186">
        <v>4</v>
      </c>
      <c r="K153" s="32" t="str">
        <f t="shared" si="71"/>
        <v/>
      </c>
      <c r="L153" s="186" t="s">
        <v>882</v>
      </c>
      <c r="M153" s="187">
        <v>44378</v>
      </c>
      <c r="N153" s="188">
        <v>44440</v>
      </c>
      <c r="O153" s="181" t="s">
        <v>883</v>
      </c>
      <c r="P153" s="181" t="s">
        <v>39</v>
      </c>
      <c r="Q153" s="191"/>
      <c r="R153" s="192"/>
      <c r="S153" s="174">
        <f t="shared" si="69"/>
        <v>0</v>
      </c>
      <c r="T153" s="193" t="str">
        <f t="shared" si="72"/>
        <v/>
      </c>
      <c r="U153" s="175" t="str">
        <f t="shared" si="67"/>
        <v> </v>
      </c>
      <c r="V153" s="175" t="str">
        <f t="shared" si="68"/>
        <v> </v>
      </c>
      <c r="W153" s="175" t="str">
        <f t="shared" si="73"/>
        <v/>
      </c>
      <c r="X153" s="175" t="str">
        <f t="shared" si="74"/>
        <v/>
      </c>
      <c r="Y153" s="195" t="str">
        <f t="shared" si="75"/>
        <v/>
      </c>
      <c r="Z153" s="195" t="str">
        <f t="shared" si="76"/>
        <v/>
      </c>
      <c r="AA153" s="195" t="str">
        <f t="shared" si="77"/>
        <v/>
      </c>
      <c r="AB153" s="194"/>
      <c r="AC153" s="196" t="str">
        <f t="shared" si="78"/>
        <v/>
      </c>
    </row>
    <row r="154" s="174" customFormat="1" ht="14.15" hidden="1" customHeight="1" spans="1:29">
      <c r="A154" s="181">
        <v>167</v>
      </c>
      <c r="B154" s="181" t="s">
        <v>946</v>
      </c>
      <c r="C154" s="181" t="s">
        <v>880</v>
      </c>
      <c r="D154" s="181" t="s">
        <v>947</v>
      </c>
      <c r="E154" s="182">
        <v>1.8</v>
      </c>
      <c r="F154" s="182">
        <v>1.8</v>
      </c>
      <c r="G154" s="182">
        <v>0</v>
      </c>
      <c r="H154" s="182">
        <v>0</v>
      </c>
      <c r="I154" s="185" t="str">
        <f t="shared" si="70"/>
        <v>完工</v>
      </c>
      <c r="J154" s="186">
        <v>1.8</v>
      </c>
      <c r="K154" s="32" t="str">
        <f t="shared" si="71"/>
        <v/>
      </c>
      <c r="L154" s="186" t="s">
        <v>882</v>
      </c>
      <c r="M154" s="187">
        <v>44378</v>
      </c>
      <c r="N154" s="188">
        <v>44440</v>
      </c>
      <c r="O154" s="181" t="s">
        <v>883</v>
      </c>
      <c r="P154" s="181" t="s">
        <v>39</v>
      </c>
      <c r="Q154" s="191"/>
      <c r="R154" s="192"/>
      <c r="S154" s="174">
        <f t="shared" si="69"/>
        <v>0</v>
      </c>
      <c r="T154" s="193" t="str">
        <f t="shared" si="72"/>
        <v/>
      </c>
      <c r="U154" s="175" t="str">
        <f t="shared" si="67"/>
        <v> </v>
      </c>
      <c r="V154" s="175" t="str">
        <f t="shared" si="68"/>
        <v> </v>
      </c>
      <c r="W154" s="175" t="str">
        <f t="shared" si="73"/>
        <v/>
      </c>
      <c r="X154" s="175" t="str">
        <f t="shared" si="74"/>
        <v/>
      </c>
      <c r="Y154" s="195" t="str">
        <f t="shared" si="75"/>
        <v/>
      </c>
      <c r="Z154" s="195" t="str">
        <f t="shared" si="76"/>
        <v/>
      </c>
      <c r="AA154" s="195" t="str">
        <f t="shared" si="77"/>
        <v/>
      </c>
      <c r="AB154" s="194"/>
      <c r="AC154" s="196" t="str">
        <f t="shared" si="78"/>
        <v/>
      </c>
    </row>
    <row r="155" s="174" customFormat="1" ht="14.15" hidden="1" customHeight="1" spans="1:29">
      <c r="A155" s="181">
        <v>168</v>
      </c>
      <c r="B155" s="181" t="s">
        <v>948</v>
      </c>
      <c r="C155" s="181" t="s">
        <v>880</v>
      </c>
      <c r="D155" s="181" t="s">
        <v>949</v>
      </c>
      <c r="E155" s="182">
        <v>1.04</v>
      </c>
      <c r="F155" s="182">
        <v>1.04</v>
      </c>
      <c r="G155" s="182">
        <v>0</v>
      </c>
      <c r="H155" s="182">
        <v>0</v>
      </c>
      <c r="I155" s="185" t="str">
        <f t="shared" si="70"/>
        <v>完工</v>
      </c>
      <c r="J155" s="186">
        <v>1.04</v>
      </c>
      <c r="K155" s="32" t="str">
        <f t="shared" si="71"/>
        <v/>
      </c>
      <c r="L155" s="186" t="s">
        <v>882</v>
      </c>
      <c r="M155" s="187">
        <v>44378</v>
      </c>
      <c r="N155" s="188">
        <v>44440</v>
      </c>
      <c r="O155" s="181" t="s">
        <v>883</v>
      </c>
      <c r="P155" s="181" t="s">
        <v>39</v>
      </c>
      <c r="Q155" s="191"/>
      <c r="R155" s="192"/>
      <c r="S155" s="174">
        <f t="shared" si="69"/>
        <v>0</v>
      </c>
      <c r="T155" s="193" t="str">
        <f t="shared" si="72"/>
        <v/>
      </c>
      <c r="U155" s="175" t="str">
        <f t="shared" si="67"/>
        <v> </v>
      </c>
      <c r="V155" s="175" t="str">
        <f t="shared" si="68"/>
        <v> </v>
      </c>
      <c r="W155" s="175" t="str">
        <f t="shared" si="73"/>
        <v/>
      </c>
      <c r="X155" s="175" t="str">
        <f t="shared" si="74"/>
        <v/>
      </c>
      <c r="Y155" s="195" t="str">
        <f t="shared" si="75"/>
        <v/>
      </c>
      <c r="Z155" s="195" t="str">
        <f t="shared" si="76"/>
        <v/>
      </c>
      <c r="AA155" s="195" t="str">
        <f t="shared" si="77"/>
        <v/>
      </c>
      <c r="AB155" s="194"/>
      <c r="AC155" s="196" t="str">
        <f t="shared" si="78"/>
        <v/>
      </c>
    </row>
    <row r="156" s="174" customFormat="1" ht="14.15" hidden="1" customHeight="1" spans="1:29">
      <c r="A156" s="181">
        <v>169</v>
      </c>
      <c r="B156" s="181" t="s">
        <v>950</v>
      </c>
      <c r="C156" s="181" t="s">
        <v>880</v>
      </c>
      <c r="D156" s="181" t="s">
        <v>951</v>
      </c>
      <c r="E156" s="182">
        <v>89</v>
      </c>
      <c r="F156" s="182">
        <v>89</v>
      </c>
      <c r="G156" s="182">
        <v>0</v>
      </c>
      <c r="H156" s="182">
        <v>0</v>
      </c>
      <c r="I156" s="185" t="str">
        <f t="shared" si="70"/>
        <v>完工</v>
      </c>
      <c r="J156" s="186">
        <v>89</v>
      </c>
      <c r="K156" s="32" t="str">
        <f t="shared" si="71"/>
        <v/>
      </c>
      <c r="L156" s="186" t="s">
        <v>882</v>
      </c>
      <c r="M156" s="187">
        <v>44378</v>
      </c>
      <c r="N156" s="188">
        <v>44440</v>
      </c>
      <c r="O156" s="181" t="s">
        <v>883</v>
      </c>
      <c r="P156" s="181" t="s">
        <v>39</v>
      </c>
      <c r="Q156" s="191"/>
      <c r="R156" s="192"/>
      <c r="S156" s="174">
        <f t="shared" si="69"/>
        <v>0</v>
      </c>
      <c r="T156" s="193" t="str">
        <f t="shared" si="72"/>
        <v/>
      </c>
      <c r="U156" s="175" t="str">
        <f t="shared" si="67"/>
        <v> </v>
      </c>
      <c r="V156" s="175" t="str">
        <f t="shared" si="68"/>
        <v> </v>
      </c>
      <c r="W156" s="175" t="str">
        <f t="shared" si="73"/>
        <v/>
      </c>
      <c r="X156" s="175" t="str">
        <f t="shared" si="74"/>
        <v/>
      </c>
      <c r="Y156" s="195" t="str">
        <f t="shared" si="75"/>
        <v/>
      </c>
      <c r="Z156" s="195" t="str">
        <f t="shared" si="76"/>
        <v/>
      </c>
      <c r="AA156" s="195" t="str">
        <f t="shared" si="77"/>
        <v/>
      </c>
      <c r="AB156" s="194"/>
      <c r="AC156" s="196" t="str">
        <f t="shared" si="78"/>
        <v/>
      </c>
    </row>
    <row r="157" s="174" customFormat="1" ht="14.15" hidden="1" customHeight="1" spans="1:29">
      <c r="A157" s="181">
        <v>170</v>
      </c>
      <c r="B157" s="181" t="s">
        <v>952</v>
      </c>
      <c r="C157" s="181" t="s">
        <v>880</v>
      </c>
      <c r="D157" s="181" t="s">
        <v>953</v>
      </c>
      <c r="E157" s="182">
        <v>8</v>
      </c>
      <c r="F157" s="182">
        <v>8</v>
      </c>
      <c r="G157" s="182">
        <v>0</v>
      </c>
      <c r="H157" s="182">
        <v>0</v>
      </c>
      <c r="I157" s="185" t="str">
        <f t="shared" si="70"/>
        <v>完工</v>
      </c>
      <c r="J157" s="186">
        <v>8</v>
      </c>
      <c r="K157" s="32" t="str">
        <f t="shared" si="71"/>
        <v/>
      </c>
      <c r="L157" s="186" t="s">
        <v>882</v>
      </c>
      <c r="M157" s="187">
        <v>44378</v>
      </c>
      <c r="N157" s="188">
        <v>44440</v>
      </c>
      <c r="O157" s="181" t="s">
        <v>883</v>
      </c>
      <c r="P157" s="181" t="s">
        <v>39</v>
      </c>
      <c r="Q157" s="191"/>
      <c r="R157" s="192"/>
      <c r="S157" s="174">
        <f t="shared" si="69"/>
        <v>0</v>
      </c>
      <c r="T157" s="193" t="str">
        <f t="shared" si="72"/>
        <v/>
      </c>
      <c r="U157" s="175" t="str">
        <f t="shared" si="67"/>
        <v> </v>
      </c>
      <c r="V157" s="175" t="str">
        <f t="shared" si="68"/>
        <v> </v>
      </c>
      <c r="W157" s="175" t="str">
        <f t="shared" si="73"/>
        <v/>
      </c>
      <c r="X157" s="175" t="str">
        <f t="shared" si="74"/>
        <v/>
      </c>
      <c r="Y157" s="195" t="str">
        <f t="shared" si="75"/>
        <v/>
      </c>
      <c r="Z157" s="195" t="str">
        <f t="shared" si="76"/>
        <v/>
      </c>
      <c r="AA157" s="195" t="str">
        <f t="shared" si="77"/>
        <v/>
      </c>
      <c r="AB157" s="194"/>
      <c r="AC157" s="196" t="str">
        <f t="shared" si="78"/>
        <v/>
      </c>
    </row>
    <row r="158" s="174" customFormat="1" ht="14.15" hidden="1" customHeight="1" spans="1:29">
      <c r="A158" s="181">
        <v>171</v>
      </c>
      <c r="B158" s="181" t="s">
        <v>954</v>
      </c>
      <c r="C158" s="181" t="s">
        <v>880</v>
      </c>
      <c r="D158" s="181" t="s">
        <v>955</v>
      </c>
      <c r="E158" s="182">
        <v>6.5</v>
      </c>
      <c r="F158" s="182">
        <v>6.5</v>
      </c>
      <c r="G158" s="182">
        <v>0</v>
      </c>
      <c r="H158" s="182">
        <v>0</v>
      </c>
      <c r="I158" s="185" t="str">
        <f t="shared" si="70"/>
        <v>完工</v>
      </c>
      <c r="J158" s="186">
        <v>6.5</v>
      </c>
      <c r="K158" s="32" t="str">
        <f t="shared" si="71"/>
        <v/>
      </c>
      <c r="L158" s="186" t="s">
        <v>882</v>
      </c>
      <c r="M158" s="187">
        <v>44378</v>
      </c>
      <c r="N158" s="188">
        <v>44440</v>
      </c>
      <c r="O158" s="181" t="s">
        <v>883</v>
      </c>
      <c r="P158" s="181" t="s">
        <v>39</v>
      </c>
      <c r="Q158" s="191"/>
      <c r="R158" s="192"/>
      <c r="S158" s="174">
        <f t="shared" si="69"/>
        <v>0</v>
      </c>
      <c r="T158" s="193" t="str">
        <f t="shared" si="72"/>
        <v/>
      </c>
      <c r="U158" s="175" t="str">
        <f t="shared" si="67"/>
        <v> </v>
      </c>
      <c r="V158" s="175" t="str">
        <f t="shared" si="68"/>
        <v> </v>
      </c>
      <c r="W158" s="175" t="str">
        <f t="shared" si="73"/>
        <v/>
      </c>
      <c r="X158" s="175" t="str">
        <f t="shared" si="74"/>
        <v/>
      </c>
      <c r="Y158" s="195" t="str">
        <f t="shared" si="75"/>
        <v/>
      </c>
      <c r="Z158" s="195" t="str">
        <f t="shared" si="76"/>
        <v/>
      </c>
      <c r="AA158" s="195" t="str">
        <f t="shared" si="77"/>
        <v/>
      </c>
      <c r="AB158" s="194"/>
      <c r="AC158" s="196" t="str">
        <f t="shared" si="78"/>
        <v/>
      </c>
    </row>
    <row r="159" s="174" customFormat="1" ht="14.15" hidden="1" customHeight="1" spans="1:29">
      <c r="A159" s="181">
        <v>172</v>
      </c>
      <c r="B159" s="181" t="s">
        <v>956</v>
      </c>
      <c r="C159" s="181" t="s">
        <v>880</v>
      </c>
      <c r="D159" s="181" t="s">
        <v>957</v>
      </c>
      <c r="E159" s="182">
        <v>22</v>
      </c>
      <c r="F159" s="182">
        <v>22</v>
      </c>
      <c r="G159" s="182">
        <v>0</v>
      </c>
      <c r="H159" s="182">
        <v>0</v>
      </c>
      <c r="I159" s="185" t="str">
        <f t="shared" si="70"/>
        <v>完工</v>
      </c>
      <c r="J159" s="186">
        <v>22</v>
      </c>
      <c r="K159" s="32" t="str">
        <f t="shared" si="71"/>
        <v/>
      </c>
      <c r="L159" s="186" t="s">
        <v>882</v>
      </c>
      <c r="M159" s="187">
        <v>44378</v>
      </c>
      <c r="N159" s="188">
        <v>44440</v>
      </c>
      <c r="O159" s="181" t="s">
        <v>883</v>
      </c>
      <c r="P159" s="181" t="s">
        <v>39</v>
      </c>
      <c r="Q159" s="191"/>
      <c r="R159" s="192"/>
      <c r="S159" s="174">
        <f t="shared" si="69"/>
        <v>0</v>
      </c>
      <c r="T159" s="193" t="str">
        <f t="shared" si="72"/>
        <v/>
      </c>
      <c r="U159" s="175" t="str">
        <f t="shared" si="67"/>
        <v> </v>
      </c>
      <c r="V159" s="175" t="str">
        <f t="shared" si="68"/>
        <v> </v>
      </c>
      <c r="W159" s="175" t="str">
        <f t="shared" si="73"/>
        <v/>
      </c>
      <c r="X159" s="175" t="str">
        <f t="shared" si="74"/>
        <v/>
      </c>
      <c r="Y159" s="195" t="str">
        <f t="shared" si="75"/>
        <v/>
      </c>
      <c r="Z159" s="195" t="str">
        <f t="shared" si="76"/>
        <v/>
      </c>
      <c r="AA159" s="195" t="str">
        <f t="shared" si="77"/>
        <v/>
      </c>
      <c r="AB159" s="194"/>
      <c r="AC159" s="196" t="str">
        <f t="shared" si="78"/>
        <v/>
      </c>
    </row>
    <row r="160" s="174" customFormat="1" ht="14.15" hidden="1" customHeight="1" spans="1:29">
      <c r="A160" s="181">
        <v>173</v>
      </c>
      <c r="B160" s="181" t="s">
        <v>958</v>
      </c>
      <c r="C160" s="181" t="s">
        <v>880</v>
      </c>
      <c r="D160" s="181" t="s">
        <v>959</v>
      </c>
      <c r="E160" s="182">
        <v>5</v>
      </c>
      <c r="F160" s="182">
        <v>5</v>
      </c>
      <c r="G160" s="182">
        <v>0</v>
      </c>
      <c r="H160" s="182">
        <v>0</v>
      </c>
      <c r="I160" s="185" t="str">
        <f t="shared" si="70"/>
        <v>完工</v>
      </c>
      <c r="J160" s="186">
        <v>5</v>
      </c>
      <c r="K160" s="32" t="str">
        <f t="shared" si="71"/>
        <v/>
      </c>
      <c r="L160" s="186" t="s">
        <v>882</v>
      </c>
      <c r="M160" s="187">
        <v>44378</v>
      </c>
      <c r="N160" s="188">
        <v>44440</v>
      </c>
      <c r="O160" s="181" t="s">
        <v>883</v>
      </c>
      <c r="P160" s="181" t="s">
        <v>39</v>
      </c>
      <c r="Q160" s="191"/>
      <c r="R160" s="192"/>
      <c r="S160" s="174">
        <f t="shared" si="69"/>
        <v>0</v>
      </c>
      <c r="T160" s="193" t="str">
        <f t="shared" si="72"/>
        <v/>
      </c>
      <c r="U160" s="175" t="str">
        <f t="shared" si="67"/>
        <v> </v>
      </c>
      <c r="V160" s="175" t="str">
        <f t="shared" si="68"/>
        <v> </v>
      </c>
      <c r="W160" s="175" t="str">
        <f t="shared" si="73"/>
        <v/>
      </c>
      <c r="X160" s="175" t="str">
        <f t="shared" si="74"/>
        <v/>
      </c>
      <c r="Y160" s="195" t="str">
        <f t="shared" si="75"/>
        <v/>
      </c>
      <c r="Z160" s="195" t="str">
        <f t="shared" si="76"/>
        <v/>
      </c>
      <c r="AA160" s="195" t="str">
        <f t="shared" si="77"/>
        <v/>
      </c>
      <c r="AB160" s="194"/>
      <c r="AC160" s="196" t="str">
        <f t="shared" si="78"/>
        <v/>
      </c>
    </row>
    <row r="161" s="174" customFormat="1" ht="14.15" hidden="1" customHeight="1" spans="1:29">
      <c r="A161" s="181">
        <v>174</v>
      </c>
      <c r="B161" s="181" t="s">
        <v>960</v>
      </c>
      <c r="C161" s="181" t="s">
        <v>880</v>
      </c>
      <c r="D161" s="181" t="s">
        <v>961</v>
      </c>
      <c r="E161" s="182">
        <v>0</v>
      </c>
      <c r="F161" s="182">
        <v>0</v>
      </c>
      <c r="G161" s="182">
        <v>0</v>
      </c>
      <c r="H161" s="182">
        <v>0</v>
      </c>
      <c r="I161" s="185" t="str">
        <f t="shared" si="70"/>
        <v>完工</v>
      </c>
      <c r="J161" s="186">
        <v>0</v>
      </c>
      <c r="K161" s="32" t="str">
        <f t="shared" si="71"/>
        <v/>
      </c>
      <c r="L161" s="186" t="s">
        <v>882</v>
      </c>
      <c r="M161" s="187">
        <v>44378</v>
      </c>
      <c r="N161" s="188">
        <v>44440</v>
      </c>
      <c r="O161" s="181" t="s">
        <v>883</v>
      </c>
      <c r="P161" s="181" t="s">
        <v>39</v>
      </c>
      <c r="Q161" s="191"/>
      <c r="R161" s="192"/>
      <c r="S161" s="174">
        <f t="shared" si="69"/>
        <v>0</v>
      </c>
      <c r="T161" s="193" t="str">
        <f t="shared" si="72"/>
        <v/>
      </c>
      <c r="U161" s="175" t="str">
        <f t="shared" si="67"/>
        <v> </v>
      </c>
      <c r="V161" s="175" t="str">
        <f t="shared" si="68"/>
        <v> </v>
      </c>
      <c r="W161" s="175" t="str">
        <f t="shared" si="73"/>
        <v/>
      </c>
      <c r="X161" s="175" t="str">
        <f t="shared" si="74"/>
        <v/>
      </c>
      <c r="Y161" s="195" t="str">
        <f t="shared" si="75"/>
        <v/>
      </c>
      <c r="Z161" s="195" t="str">
        <f t="shared" si="76"/>
        <v/>
      </c>
      <c r="AA161" s="195" t="str">
        <f t="shared" si="77"/>
        <v/>
      </c>
      <c r="AB161" s="194"/>
      <c r="AC161" s="196" t="str">
        <f t="shared" si="78"/>
        <v/>
      </c>
    </row>
    <row r="162" s="174" customFormat="1" ht="14.15" hidden="1" customHeight="1" spans="1:29">
      <c r="A162" s="181">
        <v>175</v>
      </c>
      <c r="B162" s="181" t="s">
        <v>962</v>
      </c>
      <c r="C162" s="181" t="s">
        <v>880</v>
      </c>
      <c r="D162" s="181" t="s">
        <v>963</v>
      </c>
      <c r="E162" s="182">
        <v>5</v>
      </c>
      <c r="F162" s="182">
        <v>5</v>
      </c>
      <c r="G162" s="182">
        <v>0</v>
      </c>
      <c r="H162" s="182">
        <v>0</v>
      </c>
      <c r="I162" s="185" t="str">
        <f t="shared" si="70"/>
        <v>完工</v>
      </c>
      <c r="J162" s="186">
        <v>5</v>
      </c>
      <c r="K162" s="32" t="str">
        <f t="shared" si="71"/>
        <v/>
      </c>
      <c r="L162" s="186" t="s">
        <v>882</v>
      </c>
      <c r="M162" s="187">
        <v>44378</v>
      </c>
      <c r="N162" s="188">
        <v>44440</v>
      </c>
      <c r="O162" s="181" t="s">
        <v>883</v>
      </c>
      <c r="P162" s="181" t="s">
        <v>39</v>
      </c>
      <c r="Q162" s="191"/>
      <c r="R162" s="192"/>
      <c r="S162" s="174">
        <f t="shared" si="69"/>
        <v>0</v>
      </c>
      <c r="T162" s="193" t="str">
        <f t="shared" si="72"/>
        <v/>
      </c>
      <c r="U162" s="175" t="str">
        <f t="shared" si="67"/>
        <v> </v>
      </c>
      <c r="V162" s="175" t="str">
        <f t="shared" si="68"/>
        <v> </v>
      </c>
      <c r="W162" s="175" t="str">
        <f t="shared" si="73"/>
        <v/>
      </c>
      <c r="X162" s="175" t="str">
        <f t="shared" si="74"/>
        <v/>
      </c>
      <c r="Y162" s="195" t="str">
        <f t="shared" si="75"/>
        <v/>
      </c>
      <c r="Z162" s="195" t="str">
        <f t="shared" si="76"/>
        <v/>
      </c>
      <c r="AA162" s="195" t="str">
        <f t="shared" si="77"/>
        <v/>
      </c>
      <c r="AB162" s="194"/>
      <c r="AC162" s="196" t="str">
        <f t="shared" si="78"/>
        <v/>
      </c>
    </row>
    <row r="163" s="174" customFormat="1" ht="14.15" hidden="1" customHeight="1" spans="1:29">
      <c r="A163" s="181">
        <v>176</v>
      </c>
      <c r="B163" s="181" t="s">
        <v>964</v>
      </c>
      <c r="C163" s="181" t="s">
        <v>880</v>
      </c>
      <c r="D163" s="181" t="s">
        <v>965</v>
      </c>
      <c r="E163" s="182">
        <v>5.3</v>
      </c>
      <c r="F163" s="182">
        <v>5.3</v>
      </c>
      <c r="G163" s="182">
        <v>0</v>
      </c>
      <c r="H163" s="182">
        <v>0</v>
      </c>
      <c r="I163" s="185" t="str">
        <f t="shared" si="70"/>
        <v>完工</v>
      </c>
      <c r="J163" s="186">
        <v>5.3</v>
      </c>
      <c r="K163" s="32" t="str">
        <f t="shared" si="71"/>
        <v/>
      </c>
      <c r="L163" s="186" t="s">
        <v>882</v>
      </c>
      <c r="M163" s="187">
        <v>44378</v>
      </c>
      <c r="N163" s="188">
        <v>44440</v>
      </c>
      <c r="O163" s="181" t="s">
        <v>883</v>
      </c>
      <c r="P163" s="181" t="s">
        <v>39</v>
      </c>
      <c r="Q163" s="191"/>
      <c r="R163" s="192"/>
      <c r="S163" s="174">
        <f t="shared" si="69"/>
        <v>0</v>
      </c>
      <c r="T163" s="193" t="str">
        <f t="shared" si="72"/>
        <v/>
      </c>
      <c r="U163" s="175" t="str">
        <f t="shared" si="67"/>
        <v> </v>
      </c>
      <c r="V163" s="175" t="str">
        <f t="shared" si="68"/>
        <v> </v>
      </c>
      <c r="W163" s="175" t="str">
        <f t="shared" si="73"/>
        <v/>
      </c>
      <c r="X163" s="175" t="str">
        <f t="shared" si="74"/>
        <v/>
      </c>
      <c r="Y163" s="195" t="str">
        <f t="shared" si="75"/>
        <v/>
      </c>
      <c r="Z163" s="195" t="str">
        <f t="shared" si="76"/>
        <v/>
      </c>
      <c r="AA163" s="195" t="str">
        <f t="shared" si="77"/>
        <v/>
      </c>
      <c r="AB163" s="194"/>
      <c r="AC163" s="196" t="str">
        <f t="shared" si="78"/>
        <v/>
      </c>
    </row>
    <row r="164" s="174" customFormat="1" ht="14.15" hidden="1" customHeight="1" spans="1:29">
      <c r="A164" s="181">
        <v>177</v>
      </c>
      <c r="B164" s="181" t="s">
        <v>966</v>
      </c>
      <c r="C164" s="181" t="s">
        <v>880</v>
      </c>
      <c r="D164" s="181" t="s">
        <v>967</v>
      </c>
      <c r="E164" s="182">
        <v>120</v>
      </c>
      <c r="F164" s="182">
        <v>120</v>
      </c>
      <c r="G164" s="182">
        <v>0</v>
      </c>
      <c r="H164" s="182">
        <v>0</v>
      </c>
      <c r="I164" s="185" t="str">
        <f t="shared" si="70"/>
        <v>完工</v>
      </c>
      <c r="J164" s="186">
        <v>120</v>
      </c>
      <c r="K164" s="32" t="str">
        <f t="shared" si="71"/>
        <v/>
      </c>
      <c r="L164" s="186" t="s">
        <v>882</v>
      </c>
      <c r="M164" s="187">
        <v>44378</v>
      </c>
      <c r="N164" s="188">
        <v>44440</v>
      </c>
      <c r="O164" s="181" t="s">
        <v>883</v>
      </c>
      <c r="P164" s="181" t="s">
        <v>39</v>
      </c>
      <c r="Q164" s="191"/>
      <c r="R164" s="192"/>
      <c r="S164" s="174">
        <f t="shared" si="69"/>
        <v>0</v>
      </c>
      <c r="T164" s="193" t="str">
        <f t="shared" si="72"/>
        <v/>
      </c>
      <c r="U164" s="175" t="str">
        <f t="shared" si="67"/>
        <v> </v>
      </c>
      <c r="V164" s="175" t="str">
        <f t="shared" si="68"/>
        <v> </v>
      </c>
      <c r="W164" s="175" t="str">
        <f t="shared" si="73"/>
        <v/>
      </c>
      <c r="X164" s="175" t="str">
        <f t="shared" si="74"/>
        <v/>
      </c>
      <c r="Y164" s="195" t="str">
        <f t="shared" si="75"/>
        <v/>
      </c>
      <c r="Z164" s="195" t="str">
        <f t="shared" si="76"/>
        <v/>
      </c>
      <c r="AA164" s="195" t="str">
        <f t="shared" si="77"/>
        <v/>
      </c>
      <c r="AB164" s="194"/>
      <c r="AC164" s="196" t="str">
        <f t="shared" si="78"/>
        <v/>
      </c>
    </row>
    <row r="165" s="174" customFormat="1" ht="14.15" hidden="1" customHeight="1" spans="1:29">
      <c r="A165" s="181">
        <v>178</v>
      </c>
      <c r="B165" s="181" t="s">
        <v>968</v>
      </c>
      <c r="C165" s="181" t="s">
        <v>880</v>
      </c>
      <c r="D165" s="181" t="s">
        <v>969</v>
      </c>
      <c r="E165" s="182">
        <v>91.5</v>
      </c>
      <c r="F165" s="182">
        <v>91.5</v>
      </c>
      <c r="G165" s="182">
        <v>0</v>
      </c>
      <c r="H165" s="182">
        <v>0</v>
      </c>
      <c r="I165" s="185" t="str">
        <f t="shared" si="70"/>
        <v>完工</v>
      </c>
      <c r="J165" s="186">
        <v>91.5</v>
      </c>
      <c r="K165" s="32" t="str">
        <f t="shared" si="71"/>
        <v/>
      </c>
      <c r="L165" s="186" t="s">
        <v>882</v>
      </c>
      <c r="M165" s="187">
        <v>44378</v>
      </c>
      <c r="N165" s="188">
        <v>44440</v>
      </c>
      <c r="O165" s="181" t="s">
        <v>883</v>
      </c>
      <c r="P165" s="181" t="s">
        <v>39</v>
      </c>
      <c r="Q165" s="191"/>
      <c r="R165" s="192"/>
      <c r="S165" s="174">
        <f t="shared" si="69"/>
        <v>0</v>
      </c>
      <c r="T165" s="193" t="str">
        <f t="shared" si="72"/>
        <v/>
      </c>
      <c r="U165" s="175" t="str">
        <f t="shared" si="67"/>
        <v> </v>
      </c>
      <c r="V165" s="175" t="str">
        <f t="shared" si="68"/>
        <v> </v>
      </c>
      <c r="W165" s="175" t="str">
        <f t="shared" si="73"/>
        <v/>
      </c>
      <c r="X165" s="175" t="str">
        <f t="shared" si="74"/>
        <v/>
      </c>
      <c r="Y165" s="195" t="str">
        <f t="shared" si="75"/>
        <v/>
      </c>
      <c r="Z165" s="195" t="str">
        <f t="shared" si="76"/>
        <v/>
      </c>
      <c r="AA165" s="195" t="str">
        <f t="shared" si="77"/>
        <v/>
      </c>
      <c r="AB165" s="194"/>
      <c r="AC165" s="196" t="str">
        <f t="shared" si="78"/>
        <v/>
      </c>
    </row>
    <row r="166" s="174" customFormat="1" ht="14.15" hidden="1" customHeight="1" spans="1:29">
      <c r="A166" s="181">
        <v>179</v>
      </c>
      <c r="B166" s="181" t="s">
        <v>970</v>
      </c>
      <c r="C166" s="181" t="s">
        <v>880</v>
      </c>
      <c r="D166" s="181" t="s">
        <v>971</v>
      </c>
      <c r="E166" s="182">
        <v>10</v>
      </c>
      <c r="F166" s="182">
        <v>10</v>
      </c>
      <c r="G166" s="182">
        <v>0</v>
      </c>
      <c r="H166" s="182">
        <v>0</v>
      </c>
      <c r="I166" s="185" t="str">
        <f t="shared" si="70"/>
        <v>完工</v>
      </c>
      <c r="J166" s="186">
        <v>10</v>
      </c>
      <c r="K166" s="32" t="str">
        <f t="shared" si="71"/>
        <v/>
      </c>
      <c r="L166" s="186" t="s">
        <v>882</v>
      </c>
      <c r="M166" s="187">
        <v>44378</v>
      </c>
      <c r="N166" s="188">
        <v>44440</v>
      </c>
      <c r="O166" s="181" t="s">
        <v>883</v>
      </c>
      <c r="P166" s="181" t="s">
        <v>39</v>
      </c>
      <c r="Q166" s="191"/>
      <c r="R166" s="192"/>
      <c r="S166" s="174">
        <f t="shared" si="69"/>
        <v>0</v>
      </c>
      <c r="T166" s="193" t="str">
        <f t="shared" si="72"/>
        <v/>
      </c>
      <c r="U166" s="175" t="str">
        <f t="shared" si="67"/>
        <v> </v>
      </c>
      <c r="V166" s="175" t="str">
        <f t="shared" si="68"/>
        <v> </v>
      </c>
      <c r="W166" s="175" t="str">
        <f t="shared" si="73"/>
        <v/>
      </c>
      <c r="X166" s="175" t="str">
        <f t="shared" si="74"/>
        <v/>
      </c>
      <c r="Y166" s="195" t="str">
        <f t="shared" si="75"/>
        <v/>
      </c>
      <c r="Z166" s="195" t="str">
        <f t="shared" si="76"/>
        <v/>
      </c>
      <c r="AA166" s="195" t="str">
        <f t="shared" si="77"/>
        <v/>
      </c>
      <c r="AB166" s="194"/>
      <c r="AC166" s="196" t="str">
        <f t="shared" si="78"/>
        <v/>
      </c>
    </row>
    <row r="167" s="174" customFormat="1" ht="14.15" hidden="1" customHeight="1" spans="1:29">
      <c r="A167" s="181">
        <v>180</v>
      </c>
      <c r="B167" s="181" t="s">
        <v>972</v>
      </c>
      <c r="C167" s="181" t="s">
        <v>880</v>
      </c>
      <c r="D167" s="181" t="s">
        <v>973</v>
      </c>
      <c r="E167" s="182">
        <v>0</v>
      </c>
      <c r="F167" s="182">
        <v>0</v>
      </c>
      <c r="G167" s="182">
        <v>0</v>
      </c>
      <c r="H167" s="182">
        <v>0</v>
      </c>
      <c r="I167" s="185" t="str">
        <f t="shared" si="70"/>
        <v>完工</v>
      </c>
      <c r="J167" s="186">
        <v>0</v>
      </c>
      <c r="K167" s="32" t="str">
        <f t="shared" si="71"/>
        <v/>
      </c>
      <c r="L167" s="186" t="s">
        <v>882</v>
      </c>
      <c r="M167" s="187">
        <v>44378</v>
      </c>
      <c r="N167" s="188">
        <v>44440</v>
      </c>
      <c r="O167" s="181" t="s">
        <v>883</v>
      </c>
      <c r="P167" s="181" t="s">
        <v>39</v>
      </c>
      <c r="Q167" s="191"/>
      <c r="R167" s="192"/>
      <c r="S167" s="174">
        <f t="shared" si="69"/>
        <v>0</v>
      </c>
      <c r="T167" s="193" t="str">
        <f t="shared" si="72"/>
        <v/>
      </c>
      <c r="U167" s="175" t="str">
        <f t="shared" si="67"/>
        <v> </v>
      </c>
      <c r="V167" s="175" t="str">
        <f t="shared" si="68"/>
        <v> </v>
      </c>
      <c r="W167" s="175" t="str">
        <f t="shared" si="73"/>
        <v/>
      </c>
      <c r="X167" s="175" t="str">
        <f t="shared" si="74"/>
        <v/>
      </c>
      <c r="Y167" s="195" t="str">
        <f t="shared" si="75"/>
        <v/>
      </c>
      <c r="Z167" s="195" t="str">
        <f t="shared" si="76"/>
        <v/>
      </c>
      <c r="AA167" s="195" t="str">
        <f t="shared" si="77"/>
        <v/>
      </c>
      <c r="AB167" s="194"/>
      <c r="AC167" s="196" t="str">
        <f t="shared" si="78"/>
        <v/>
      </c>
    </row>
    <row r="168" s="174" customFormat="1" ht="14.15" hidden="1" customHeight="1" spans="1:29">
      <c r="A168" s="181">
        <v>181</v>
      </c>
      <c r="B168" s="181" t="s">
        <v>974</v>
      </c>
      <c r="C168" s="181" t="s">
        <v>880</v>
      </c>
      <c r="D168" s="181" t="s">
        <v>975</v>
      </c>
      <c r="E168" s="182">
        <v>5.555</v>
      </c>
      <c r="F168" s="182">
        <v>5.555</v>
      </c>
      <c r="G168" s="182">
        <v>0</v>
      </c>
      <c r="H168" s="182">
        <v>0</v>
      </c>
      <c r="I168" s="185" t="str">
        <f t="shared" si="70"/>
        <v>完工</v>
      </c>
      <c r="J168" s="186">
        <v>5.555</v>
      </c>
      <c r="K168" s="32" t="str">
        <f t="shared" si="71"/>
        <v/>
      </c>
      <c r="L168" s="186" t="s">
        <v>882</v>
      </c>
      <c r="M168" s="187">
        <v>44378</v>
      </c>
      <c r="N168" s="188">
        <v>44440</v>
      </c>
      <c r="O168" s="181" t="s">
        <v>883</v>
      </c>
      <c r="P168" s="181" t="s">
        <v>39</v>
      </c>
      <c r="Q168" s="191"/>
      <c r="R168" s="192"/>
      <c r="S168" s="174">
        <f t="shared" si="69"/>
        <v>0</v>
      </c>
      <c r="T168" s="193" t="str">
        <f t="shared" si="72"/>
        <v/>
      </c>
      <c r="U168" s="175" t="str">
        <f t="shared" si="67"/>
        <v> </v>
      </c>
      <c r="V168" s="175" t="str">
        <f t="shared" si="68"/>
        <v> </v>
      </c>
      <c r="W168" s="175" t="str">
        <f t="shared" si="73"/>
        <v/>
      </c>
      <c r="X168" s="175" t="str">
        <f t="shared" si="74"/>
        <v/>
      </c>
      <c r="Y168" s="195" t="str">
        <f t="shared" si="75"/>
        <v/>
      </c>
      <c r="Z168" s="195" t="str">
        <f t="shared" si="76"/>
        <v/>
      </c>
      <c r="AA168" s="195" t="str">
        <f t="shared" si="77"/>
        <v/>
      </c>
      <c r="AB168" s="194"/>
      <c r="AC168" s="196" t="str">
        <f t="shared" si="78"/>
        <v/>
      </c>
    </row>
    <row r="169" s="174" customFormat="1" ht="14.15" hidden="1" customHeight="1" spans="1:29">
      <c r="A169" s="181">
        <v>182</v>
      </c>
      <c r="B169" s="181" t="s">
        <v>976</v>
      </c>
      <c r="C169" s="181" t="s">
        <v>880</v>
      </c>
      <c r="D169" s="181" t="s">
        <v>977</v>
      </c>
      <c r="E169" s="182">
        <v>13</v>
      </c>
      <c r="F169" s="182">
        <v>13</v>
      </c>
      <c r="G169" s="182">
        <v>0</v>
      </c>
      <c r="H169" s="182">
        <v>0</v>
      </c>
      <c r="I169" s="185" t="str">
        <f t="shared" si="70"/>
        <v>完工</v>
      </c>
      <c r="J169" s="186">
        <v>13</v>
      </c>
      <c r="K169" s="32" t="str">
        <f t="shared" si="71"/>
        <v/>
      </c>
      <c r="L169" s="186" t="s">
        <v>882</v>
      </c>
      <c r="M169" s="187">
        <v>44378</v>
      </c>
      <c r="N169" s="188">
        <v>44440</v>
      </c>
      <c r="O169" s="181" t="s">
        <v>883</v>
      </c>
      <c r="P169" s="181" t="s">
        <v>39</v>
      </c>
      <c r="Q169" s="191"/>
      <c r="R169" s="192"/>
      <c r="S169" s="174">
        <f t="shared" si="69"/>
        <v>0</v>
      </c>
      <c r="T169" s="193" t="str">
        <f t="shared" si="72"/>
        <v/>
      </c>
      <c r="U169" s="175" t="str">
        <f t="shared" si="67"/>
        <v> </v>
      </c>
      <c r="V169" s="175" t="str">
        <f t="shared" si="68"/>
        <v> </v>
      </c>
      <c r="W169" s="175" t="str">
        <f t="shared" si="73"/>
        <v/>
      </c>
      <c r="X169" s="175" t="str">
        <f t="shared" si="74"/>
        <v/>
      </c>
      <c r="Y169" s="195" t="str">
        <f t="shared" si="75"/>
        <v/>
      </c>
      <c r="Z169" s="195" t="str">
        <f t="shared" si="76"/>
        <v/>
      </c>
      <c r="AA169" s="195" t="str">
        <f t="shared" si="77"/>
        <v/>
      </c>
      <c r="AB169" s="194"/>
      <c r="AC169" s="196" t="str">
        <f t="shared" si="78"/>
        <v/>
      </c>
    </row>
    <row r="170" s="174" customFormat="1" ht="14.15" hidden="1" customHeight="1" spans="1:29">
      <c r="A170" s="181">
        <v>183</v>
      </c>
      <c r="B170" s="181" t="s">
        <v>978</v>
      </c>
      <c r="C170" s="181" t="s">
        <v>880</v>
      </c>
      <c r="D170" s="181" t="s">
        <v>979</v>
      </c>
      <c r="E170" s="182">
        <v>96</v>
      </c>
      <c r="F170" s="182">
        <v>96</v>
      </c>
      <c r="G170" s="182">
        <v>0</v>
      </c>
      <c r="H170" s="182">
        <v>0</v>
      </c>
      <c r="I170" s="185" t="str">
        <f t="shared" si="70"/>
        <v>完工</v>
      </c>
      <c r="J170" s="186">
        <v>96</v>
      </c>
      <c r="K170" s="32" t="str">
        <f t="shared" si="71"/>
        <v/>
      </c>
      <c r="L170" s="186" t="s">
        <v>882</v>
      </c>
      <c r="M170" s="187">
        <v>44378</v>
      </c>
      <c r="N170" s="188">
        <v>44440</v>
      </c>
      <c r="O170" s="181" t="s">
        <v>883</v>
      </c>
      <c r="P170" s="181" t="s">
        <v>39</v>
      </c>
      <c r="Q170" s="191"/>
      <c r="R170" s="192"/>
      <c r="S170" s="174">
        <f t="shared" si="69"/>
        <v>0</v>
      </c>
      <c r="T170" s="193" t="str">
        <f t="shared" si="72"/>
        <v/>
      </c>
      <c r="U170" s="175" t="str">
        <f t="shared" si="67"/>
        <v> </v>
      </c>
      <c r="V170" s="175" t="str">
        <f t="shared" si="68"/>
        <v> </v>
      </c>
      <c r="W170" s="175" t="str">
        <f t="shared" si="73"/>
        <v/>
      </c>
      <c r="X170" s="175" t="str">
        <f t="shared" si="74"/>
        <v/>
      </c>
      <c r="Y170" s="195" t="str">
        <f t="shared" si="75"/>
        <v/>
      </c>
      <c r="Z170" s="195" t="str">
        <f t="shared" si="76"/>
        <v/>
      </c>
      <c r="AA170" s="195" t="str">
        <f t="shared" si="77"/>
        <v/>
      </c>
      <c r="AB170" s="194"/>
      <c r="AC170" s="196" t="str">
        <f t="shared" si="78"/>
        <v/>
      </c>
    </row>
    <row r="171" s="174" customFormat="1" ht="14.15" hidden="1" customHeight="1" spans="1:29">
      <c r="A171" s="181">
        <v>184</v>
      </c>
      <c r="B171" s="181" t="s">
        <v>980</v>
      </c>
      <c r="C171" s="181" t="s">
        <v>880</v>
      </c>
      <c r="D171" s="181" t="s">
        <v>981</v>
      </c>
      <c r="E171" s="182">
        <v>0</v>
      </c>
      <c r="F171" s="182">
        <v>0</v>
      </c>
      <c r="G171" s="182">
        <v>0</v>
      </c>
      <c r="H171" s="182">
        <v>0</v>
      </c>
      <c r="I171" s="185" t="str">
        <f t="shared" si="70"/>
        <v>完工</v>
      </c>
      <c r="J171" s="186">
        <v>0</v>
      </c>
      <c r="K171" s="32" t="str">
        <f t="shared" si="71"/>
        <v/>
      </c>
      <c r="L171" s="186" t="s">
        <v>882</v>
      </c>
      <c r="M171" s="187">
        <v>44378</v>
      </c>
      <c r="N171" s="188">
        <v>44440</v>
      </c>
      <c r="O171" s="181" t="s">
        <v>883</v>
      </c>
      <c r="P171" s="181" t="s">
        <v>39</v>
      </c>
      <c r="Q171" s="191"/>
      <c r="R171" s="192"/>
      <c r="S171" s="174">
        <f t="shared" si="69"/>
        <v>0</v>
      </c>
      <c r="T171" s="193" t="str">
        <f t="shared" si="72"/>
        <v/>
      </c>
      <c r="U171" s="175" t="str">
        <f t="shared" si="67"/>
        <v> </v>
      </c>
      <c r="V171" s="175" t="str">
        <f t="shared" si="68"/>
        <v> </v>
      </c>
      <c r="W171" s="175" t="str">
        <f t="shared" si="73"/>
        <v/>
      </c>
      <c r="X171" s="175" t="str">
        <f t="shared" si="74"/>
        <v/>
      </c>
      <c r="Y171" s="195" t="str">
        <f t="shared" si="75"/>
        <v/>
      </c>
      <c r="Z171" s="195" t="str">
        <f t="shared" si="76"/>
        <v/>
      </c>
      <c r="AA171" s="195" t="str">
        <f t="shared" si="77"/>
        <v/>
      </c>
      <c r="AB171" s="194"/>
      <c r="AC171" s="196" t="str">
        <f t="shared" si="78"/>
        <v/>
      </c>
    </row>
    <row r="172" s="174" customFormat="1" ht="14.15" hidden="1" customHeight="1" spans="1:29">
      <c r="A172" s="181">
        <v>185</v>
      </c>
      <c r="B172" s="181" t="s">
        <v>982</v>
      </c>
      <c r="C172" s="181" t="s">
        <v>880</v>
      </c>
      <c r="D172" s="181" t="s">
        <v>983</v>
      </c>
      <c r="E172" s="182">
        <v>25</v>
      </c>
      <c r="F172" s="182">
        <v>25</v>
      </c>
      <c r="G172" s="182">
        <v>0</v>
      </c>
      <c r="H172" s="182">
        <v>0</v>
      </c>
      <c r="I172" s="185" t="str">
        <f t="shared" si="70"/>
        <v>完工</v>
      </c>
      <c r="J172" s="186">
        <v>25</v>
      </c>
      <c r="K172" s="32" t="str">
        <f t="shared" si="71"/>
        <v/>
      </c>
      <c r="L172" s="186" t="s">
        <v>882</v>
      </c>
      <c r="M172" s="187">
        <v>44378</v>
      </c>
      <c r="N172" s="188">
        <v>44440</v>
      </c>
      <c r="O172" s="181" t="s">
        <v>883</v>
      </c>
      <c r="P172" s="181" t="s">
        <v>39</v>
      </c>
      <c r="Q172" s="191"/>
      <c r="R172" s="192"/>
      <c r="S172" s="174">
        <f t="shared" si="69"/>
        <v>0</v>
      </c>
      <c r="T172" s="193" t="str">
        <f t="shared" si="72"/>
        <v/>
      </c>
      <c r="U172" s="175" t="str">
        <f t="shared" si="67"/>
        <v> </v>
      </c>
      <c r="V172" s="175" t="str">
        <f t="shared" si="68"/>
        <v> </v>
      </c>
      <c r="W172" s="175" t="str">
        <f t="shared" si="73"/>
        <v/>
      </c>
      <c r="X172" s="175" t="str">
        <f t="shared" si="74"/>
        <v/>
      </c>
      <c r="Y172" s="195" t="str">
        <f t="shared" si="75"/>
        <v/>
      </c>
      <c r="Z172" s="195" t="str">
        <f t="shared" si="76"/>
        <v/>
      </c>
      <c r="AA172" s="195" t="str">
        <f t="shared" si="77"/>
        <v/>
      </c>
      <c r="AB172" s="194"/>
      <c r="AC172" s="196" t="str">
        <f t="shared" si="78"/>
        <v/>
      </c>
    </row>
    <row r="173" s="174" customFormat="1" ht="14.15" hidden="1" customHeight="1" spans="1:29">
      <c r="A173" s="181">
        <v>186</v>
      </c>
      <c r="B173" s="181" t="s">
        <v>984</v>
      </c>
      <c r="C173" s="181" t="s">
        <v>880</v>
      </c>
      <c r="D173" s="181" t="s">
        <v>985</v>
      </c>
      <c r="E173" s="182">
        <v>5.395</v>
      </c>
      <c r="F173" s="182">
        <v>5.395</v>
      </c>
      <c r="G173" s="182">
        <v>0</v>
      </c>
      <c r="H173" s="182">
        <v>0</v>
      </c>
      <c r="I173" s="185" t="str">
        <f t="shared" si="70"/>
        <v>完工</v>
      </c>
      <c r="J173" s="186">
        <v>5.395</v>
      </c>
      <c r="K173" s="32" t="str">
        <f t="shared" si="71"/>
        <v/>
      </c>
      <c r="L173" s="186" t="s">
        <v>882</v>
      </c>
      <c r="M173" s="187">
        <v>44378</v>
      </c>
      <c r="N173" s="188">
        <v>44440</v>
      </c>
      <c r="O173" s="181" t="s">
        <v>883</v>
      </c>
      <c r="P173" s="181" t="s">
        <v>39</v>
      </c>
      <c r="Q173" s="191"/>
      <c r="R173" s="192"/>
      <c r="S173" s="174">
        <f t="shared" si="69"/>
        <v>0</v>
      </c>
      <c r="T173" s="193" t="str">
        <f t="shared" si="72"/>
        <v/>
      </c>
      <c r="U173" s="175" t="str">
        <f t="shared" si="67"/>
        <v> </v>
      </c>
      <c r="V173" s="175" t="str">
        <f t="shared" si="68"/>
        <v> </v>
      </c>
      <c r="W173" s="175" t="str">
        <f t="shared" si="73"/>
        <v/>
      </c>
      <c r="X173" s="175" t="str">
        <f t="shared" si="74"/>
        <v/>
      </c>
      <c r="Y173" s="195" t="str">
        <f t="shared" si="75"/>
        <v/>
      </c>
      <c r="Z173" s="195" t="str">
        <f t="shared" si="76"/>
        <v/>
      </c>
      <c r="AA173" s="195" t="str">
        <f t="shared" si="77"/>
        <v/>
      </c>
      <c r="AB173" s="194"/>
      <c r="AC173" s="196" t="str">
        <f t="shared" si="78"/>
        <v/>
      </c>
    </row>
    <row r="174" s="174" customFormat="1" ht="14.15" hidden="1" customHeight="1" spans="1:29">
      <c r="A174" s="181">
        <v>187</v>
      </c>
      <c r="B174" s="181" t="s">
        <v>986</v>
      </c>
      <c r="C174" s="181" t="s">
        <v>880</v>
      </c>
      <c r="D174" s="181" t="s">
        <v>987</v>
      </c>
      <c r="E174" s="182">
        <v>1.7</v>
      </c>
      <c r="F174" s="182">
        <v>1.7</v>
      </c>
      <c r="G174" s="182">
        <v>0</v>
      </c>
      <c r="H174" s="182">
        <v>0</v>
      </c>
      <c r="I174" s="185" t="str">
        <f t="shared" si="70"/>
        <v>完工</v>
      </c>
      <c r="J174" s="186">
        <v>1.7</v>
      </c>
      <c r="K174" s="32" t="str">
        <f t="shared" si="71"/>
        <v/>
      </c>
      <c r="L174" s="186" t="s">
        <v>882</v>
      </c>
      <c r="M174" s="187">
        <v>44378</v>
      </c>
      <c r="N174" s="188">
        <v>44440</v>
      </c>
      <c r="O174" s="181" t="s">
        <v>883</v>
      </c>
      <c r="P174" s="181" t="s">
        <v>39</v>
      </c>
      <c r="Q174" s="191"/>
      <c r="R174" s="192"/>
      <c r="S174" s="174">
        <f t="shared" si="69"/>
        <v>0</v>
      </c>
      <c r="T174" s="193" t="str">
        <f t="shared" si="72"/>
        <v/>
      </c>
      <c r="U174" s="175" t="str">
        <f t="shared" si="67"/>
        <v> </v>
      </c>
      <c r="V174" s="175" t="str">
        <f t="shared" si="68"/>
        <v> </v>
      </c>
      <c r="W174" s="175" t="str">
        <f t="shared" si="73"/>
        <v/>
      </c>
      <c r="X174" s="175" t="str">
        <f t="shared" si="74"/>
        <v/>
      </c>
      <c r="Y174" s="195" t="str">
        <f t="shared" si="75"/>
        <v/>
      </c>
      <c r="Z174" s="195" t="str">
        <f t="shared" si="76"/>
        <v/>
      </c>
      <c r="AA174" s="195" t="str">
        <f t="shared" si="77"/>
        <v/>
      </c>
      <c r="AB174" s="194"/>
      <c r="AC174" s="196" t="str">
        <f t="shared" si="78"/>
        <v/>
      </c>
    </row>
    <row r="175" s="174" customFormat="1" ht="14.15" hidden="1" customHeight="1" spans="1:29">
      <c r="A175" s="181">
        <v>188</v>
      </c>
      <c r="B175" s="181" t="s">
        <v>988</v>
      </c>
      <c r="C175" s="181" t="s">
        <v>880</v>
      </c>
      <c r="D175" s="181" t="s">
        <v>989</v>
      </c>
      <c r="E175" s="182">
        <v>7</v>
      </c>
      <c r="F175" s="182">
        <v>7</v>
      </c>
      <c r="G175" s="182">
        <v>0</v>
      </c>
      <c r="H175" s="182">
        <v>0</v>
      </c>
      <c r="I175" s="185" t="str">
        <f t="shared" si="70"/>
        <v>完工</v>
      </c>
      <c r="J175" s="186">
        <v>7</v>
      </c>
      <c r="K175" s="32" t="str">
        <f t="shared" si="71"/>
        <v/>
      </c>
      <c r="L175" s="186" t="s">
        <v>882</v>
      </c>
      <c r="M175" s="187">
        <v>44378</v>
      </c>
      <c r="N175" s="188">
        <v>44440</v>
      </c>
      <c r="O175" s="181" t="s">
        <v>883</v>
      </c>
      <c r="P175" s="181" t="s">
        <v>39</v>
      </c>
      <c r="Q175" s="191"/>
      <c r="R175" s="192"/>
      <c r="S175" s="174">
        <f t="shared" si="69"/>
        <v>0</v>
      </c>
      <c r="T175" s="193" t="str">
        <f t="shared" si="72"/>
        <v/>
      </c>
      <c r="U175" s="175" t="str">
        <f t="shared" si="67"/>
        <v> </v>
      </c>
      <c r="V175" s="175" t="str">
        <f t="shared" si="68"/>
        <v> </v>
      </c>
      <c r="W175" s="175" t="str">
        <f t="shared" si="73"/>
        <v/>
      </c>
      <c r="X175" s="175" t="str">
        <f t="shared" si="74"/>
        <v/>
      </c>
      <c r="Y175" s="195" t="str">
        <f t="shared" si="75"/>
        <v/>
      </c>
      <c r="Z175" s="195" t="str">
        <f t="shared" si="76"/>
        <v/>
      </c>
      <c r="AA175" s="195" t="str">
        <f t="shared" si="77"/>
        <v/>
      </c>
      <c r="AB175" s="194"/>
      <c r="AC175" s="196" t="str">
        <f t="shared" si="78"/>
        <v/>
      </c>
    </row>
    <row r="176" s="174" customFormat="1" ht="14.15" hidden="1" customHeight="1" spans="1:29">
      <c r="A176" s="181">
        <v>189</v>
      </c>
      <c r="B176" s="181" t="s">
        <v>990</v>
      </c>
      <c r="C176" s="181" t="s">
        <v>880</v>
      </c>
      <c r="D176" s="181" t="s">
        <v>991</v>
      </c>
      <c r="E176" s="182">
        <v>7.89</v>
      </c>
      <c r="F176" s="182">
        <v>7.89</v>
      </c>
      <c r="G176" s="182">
        <v>0</v>
      </c>
      <c r="H176" s="182">
        <v>0</v>
      </c>
      <c r="I176" s="185" t="str">
        <f t="shared" si="70"/>
        <v>完工</v>
      </c>
      <c r="J176" s="186">
        <v>7.89</v>
      </c>
      <c r="K176" s="32" t="str">
        <f t="shared" si="71"/>
        <v/>
      </c>
      <c r="L176" s="186" t="s">
        <v>882</v>
      </c>
      <c r="M176" s="187">
        <v>44378</v>
      </c>
      <c r="N176" s="188">
        <v>44440</v>
      </c>
      <c r="O176" s="181" t="s">
        <v>883</v>
      </c>
      <c r="P176" s="181" t="s">
        <v>39</v>
      </c>
      <c r="Q176" s="191"/>
      <c r="R176" s="192"/>
      <c r="S176" s="174">
        <f t="shared" si="69"/>
        <v>0</v>
      </c>
      <c r="T176" s="193" t="str">
        <f t="shared" si="72"/>
        <v/>
      </c>
      <c r="U176" s="175" t="str">
        <f t="shared" si="67"/>
        <v> </v>
      </c>
      <c r="V176" s="175" t="str">
        <f t="shared" si="68"/>
        <v> </v>
      </c>
      <c r="W176" s="175" t="str">
        <f t="shared" si="73"/>
        <v/>
      </c>
      <c r="X176" s="175" t="str">
        <f t="shared" si="74"/>
        <v/>
      </c>
      <c r="Y176" s="195" t="str">
        <f t="shared" si="75"/>
        <v/>
      </c>
      <c r="Z176" s="195" t="str">
        <f t="shared" si="76"/>
        <v/>
      </c>
      <c r="AA176" s="195" t="str">
        <f t="shared" si="77"/>
        <v/>
      </c>
      <c r="AB176" s="194"/>
      <c r="AC176" s="196" t="str">
        <f t="shared" si="78"/>
        <v/>
      </c>
    </row>
    <row r="177" s="174" customFormat="1" ht="14.15" hidden="1" customHeight="1" spans="1:29">
      <c r="A177" s="181">
        <v>190</v>
      </c>
      <c r="B177" s="181" t="s">
        <v>992</v>
      </c>
      <c r="C177" s="181" t="s">
        <v>880</v>
      </c>
      <c r="D177" s="181" t="s">
        <v>993</v>
      </c>
      <c r="E177" s="182">
        <v>4</v>
      </c>
      <c r="F177" s="182">
        <v>4</v>
      </c>
      <c r="G177" s="182">
        <v>0</v>
      </c>
      <c r="H177" s="182">
        <v>0</v>
      </c>
      <c r="I177" s="185" t="str">
        <f t="shared" si="70"/>
        <v>完工</v>
      </c>
      <c r="J177" s="186">
        <v>4</v>
      </c>
      <c r="K177" s="32" t="str">
        <f t="shared" si="71"/>
        <v/>
      </c>
      <c r="L177" s="186" t="s">
        <v>882</v>
      </c>
      <c r="M177" s="187">
        <v>44378</v>
      </c>
      <c r="N177" s="188">
        <v>44440</v>
      </c>
      <c r="O177" s="181" t="s">
        <v>883</v>
      </c>
      <c r="P177" s="181" t="s">
        <v>39</v>
      </c>
      <c r="Q177" s="191"/>
      <c r="R177" s="192"/>
      <c r="S177" s="174">
        <f t="shared" si="69"/>
        <v>0</v>
      </c>
      <c r="T177" s="193" t="str">
        <f t="shared" si="72"/>
        <v/>
      </c>
      <c r="U177" s="175" t="str">
        <f t="shared" si="67"/>
        <v> </v>
      </c>
      <c r="V177" s="175" t="str">
        <f t="shared" si="68"/>
        <v> </v>
      </c>
      <c r="W177" s="175" t="str">
        <f t="shared" si="73"/>
        <v/>
      </c>
      <c r="X177" s="175" t="str">
        <f t="shared" si="74"/>
        <v/>
      </c>
      <c r="Y177" s="195" t="str">
        <f t="shared" si="75"/>
        <v/>
      </c>
      <c r="Z177" s="195" t="str">
        <f t="shared" si="76"/>
        <v/>
      </c>
      <c r="AA177" s="195" t="str">
        <f t="shared" si="77"/>
        <v/>
      </c>
      <c r="AB177" s="194"/>
      <c r="AC177" s="196" t="str">
        <f t="shared" si="78"/>
        <v/>
      </c>
    </row>
    <row r="178" s="174" customFormat="1" ht="14.15" hidden="1" customHeight="1" spans="1:29">
      <c r="A178" s="181">
        <v>191</v>
      </c>
      <c r="B178" s="181" t="s">
        <v>994</v>
      </c>
      <c r="C178" s="181" t="s">
        <v>880</v>
      </c>
      <c r="D178" s="181" t="s">
        <v>995</v>
      </c>
      <c r="E178" s="182">
        <v>0</v>
      </c>
      <c r="F178" s="182">
        <v>0</v>
      </c>
      <c r="G178" s="182">
        <v>0</v>
      </c>
      <c r="H178" s="182">
        <v>0</v>
      </c>
      <c r="I178" s="185" t="str">
        <f t="shared" si="70"/>
        <v>完工</v>
      </c>
      <c r="J178" s="186">
        <v>0</v>
      </c>
      <c r="K178" s="32" t="str">
        <f t="shared" si="71"/>
        <v/>
      </c>
      <c r="L178" s="186" t="s">
        <v>882</v>
      </c>
      <c r="M178" s="187">
        <v>44378</v>
      </c>
      <c r="N178" s="188">
        <v>44440</v>
      </c>
      <c r="O178" s="181" t="s">
        <v>883</v>
      </c>
      <c r="P178" s="181" t="s">
        <v>39</v>
      </c>
      <c r="Q178" s="191"/>
      <c r="R178" s="192"/>
      <c r="S178" s="174">
        <f t="shared" si="69"/>
        <v>0</v>
      </c>
      <c r="T178" s="193" t="str">
        <f t="shared" si="72"/>
        <v/>
      </c>
      <c r="U178" s="175" t="str">
        <f t="shared" si="67"/>
        <v> </v>
      </c>
      <c r="V178" s="175" t="str">
        <f t="shared" si="68"/>
        <v> </v>
      </c>
      <c r="W178" s="175" t="str">
        <f t="shared" si="73"/>
        <v/>
      </c>
      <c r="X178" s="175" t="str">
        <f t="shared" si="74"/>
        <v/>
      </c>
      <c r="Y178" s="195" t="str">
        <f t="shared" si="75"/>
        <v/>
      </c>
      <c r="Z178" s="195" t="str">
        <f t="shared" si="76"/>
        <v/>
      </c>
      <c r="AA178" s="195" t="str">
        <f t="shared" si="77"/>
        <v/>
      </c>
      <c r="AB178" s="194"/>
      <c r="AC178" s="196" t="str">
        <f t="shared" si="78"/>
        <v/>
      </c>
    </row>
    <row r="179" s="174" customFormat="1" ht="14.15" hidden="1" customHeight="1" spans="1:29">
      <c r="A179" s="181">
        <v>192</v>
      </c>
      <c r="B179" s="181" t="s">
        <v>996</v>
      </c>
      <c r="C179" s="181" t="s">
        <v>880</v>
      </c>
      <c r="D179" s="181" t="s">
        <v>997</v>
      </c>
      <c r="E179" s="182">
        <v>6</v>
      </c>
      <c r="F179" s="182">
        <v>6</v>
      </c>
      <c r="G179" s="182">
        <v>0</v>
      </c>
      <c r="H179" s="182">
        <v>0</v>
      </c>
      <c r="I179" s="185" t="str">
        <f t="shared" si="70"/>
        <v>完工</v>
      </c>
      <c r="J179" s="186">
        <v>6</v>
      </c>
      <c r="K179" s="32" t="str">
        <f t="shared" si="71"/>
        <v/>
      </c>
      <c r="L179" s="186" t="s">
        <v>882</v>
      </c>
      <c r="M179" s="187">
        <v>44378</v>
      </c>
      <c r="N179" s="188">
        <v>44440</v>
      </c>
      <c r="O179" s="181" t="s">
        <v>883</v>
      </c>
      <c r="P179" s="181" t="s">
        <v>39</v>
      </c>
      <c r="Q179" s="191"/>
      <c r="R179" s="192"/>
      <c r="S179" s="174">
        <f t="shared" si="69"/>
        <v>0</v>
      </c>
      <c r="T179" s="193" t="str">
        <f t="shared" si="72"/>
        <v/>
      </c>
      <c r="U179" s="175" t="str">
        <f t="shared" si="67"/>
        <v> </v>
      </c>
      <c r="V179" s="175" t="str">
        <f t="shared" si="68"/>
        <v> </v>
      </c>
      <c r="W179" s="175" t="str">
        <f t="shared" si="73"/>
        <v/>
      </c>
      <c r="X179" s="175" t="str">
        <f t="shared" si="74"/>
        <v/>
      </c>
      <c r="Y179" s="195" t="str">
        <f t="shared" si="75"/>
        <v/>
      </c>
      <c r="Z179" s="195" t="str">
        <f t="shared" si="76"/>
        <v/>
      </c>
      <c r="AA179" s="195" t="str">
        <f t="shared" si="77"/>
        <v/>
      </c>
      <c r="AB179" s="194"/>
      <c r="AC179" s="196" t="str">
        <f t="shared" si="78"/>
        <v/>
      </c>
    </row>
    <row r="180" s="174" customFormat="1" ht="14.15" hidden="1" customHeight="1" spans="1:29">
      <c r="A180" s="181">
        <v>193</v>
      </c>
      <c r="B180" s="181" t="s">
        <v>998</v>
      </c>
      <c r="C180" s="181" t="s">
        <v>880</v>
      </c>
      <c r="D180" s="181" t="s">
        <v>999</v>
      </c>
      <c r="E180" s="182">
        <v>66</v>
      </c>
      <c r="F180" s="182">
        <v>66</v>
      </c>
      <c r="G180" s="182">
        <v>0</v>
      </c>
      <c r="H180" s="182">
        <v>0</v>
      </c>
      <c r="I180" s="185" t="str">
        <f t="shared" si="70"/>
        <v>完工</v>
      </c>
      <c r="J180" s="186">
        <v>66</v>
      </c>
      <c r="K180" s="32" t="str">
        <f t="shared" si="71"/>
        <v/>
      </c>
      <c r="L180" s="186" t="s">
        <v>882</v>
      </c>
      <c r="M180" s="187">
        <v>44378</v>
      </c>
      <c r="N180" s="188">
        <v>44440</v>
      </c>
      <c r="O180" s="181" t="s">
        <v>883</v>
      </c>
      <c r="P180" s="181" t="s">
        <v>39</v>
      </c>
      <c r="Q180" s="191"/>
      <c r="R180" s="192"/>
      <c r="S180" s="174">
        <f t="shared" si="69"/>
        <v>0</v>
      </c>
      <c r="T180" s="193" t="str">
        <f t="shared" si="72"/>
        <v/>
      </c>
      <c r="U180" s="175" t="str">
        <f t="shared" si="67"/>
        <v> </v>
      </c>
      <c r="V180" s="175" t="str">
        <f t="shared" si="68"/>
        <v> </v>
      </c>
      <c r="W180" s="175" t="str">
        <f t="shared" si="73"/>
        <v/>
      </c>
      <c r="X180" s="175" t="str">
        <f t="shared" si="74"/>
        <v/>
      </c>
      <c r="Y180" s="195" t="str">
        <f t="shared" si="75"/>
        <v/>
      </c>
      <c r="Z180" s="195" t="str">
        <f t="shared" si="76"/>
        <v/>
      </c>
      <c r="AA180" s="195" t="str">
        <f t="shared" si="77"/>
        <v/>
      </c>
      <c r="AB180" s="194"/>
      <c r="AC180" s="196" t="str">
        <f t="shared" si="78"/>
        <v/>
      </c>
    </row>
    <row r="181" s="174" customFormat="1" ht="14.15" hidden="1" customHeight="1" spans="1:29">
      <c r="A181" s="181">
        <v>194</v>
      </c>
      <c r="B181" s="181" t="s">
        <v>1000</v>
      </c>
      <c r="C181" s="181" t="s">
        <v>880</v>
      </c>
      <c r="D181" s="181" t="s">
        <v>1001</v>
      </c>
      <c r="E181" s="182">
        <v>35</v>
      </c>
      <c r="F181" s="182">
        <v>35</v>
      </c>
      <c r="G181" s="182">
        <v>0</v>
      </c>
      <c r="H181" s="182">
        <v>0</v>
      </c>
      <c r="I181" s="185" t="str">
        <f t="shared" si="70"/>
        <v>完工</v>
      </c>
      <c r="J181" s="186">
        <v>35</v>
      </c>
      <c r="K181" s="32" t="str">
        <f t="shared" si="71"/>
        <v/>
      </c>
      <c r="L181" s="186" t="s">
        <v>882</v>
      </c>
      <c r="M181" s="187">
        <v>44378</v>
      </c>
      <c r="N181" s="188">
        <v>44440</v>
      </c>
      <c r="O181" s="181" t="s">
        <v>883</v>
      </c>
      <c r="P181" s="181" t="s">
        <v>39</v>
      </c>
      <c r="Q181" s="191"/>
      <c r="R181" s="192"/>
      <c r="S181" s="174">
        <f t="shared" si="69"/>
        <v>0</v>
      </c>
      <c r="T181" s="193" t="str">
        <f t="shared" si="72"/>
        <v/>
      </c>
      <c r="U181" s="175" t="str">
        <f t="shared" si="67"/>
        <v> </v>
      </c>
      <c r="V181" s="175" t="str">
        <f t="shared" si="68"/>
        <v> </v>
      </c>
      <c r="W181" s="175" t="str">
        <f t="shared" si="73"/>
        <v/>
      </c>
      <c r="X181" s="175" t="str">
        <f t="shared" si="74"/>
        <v/>
      </c>
      <c r="Y181" s="195" t="str">
        <f t="shared" si="75"/>
        <v/>
      </c>
      <c r="Z181" s="195" t="str">
        <f t="shared" si="76"/>
        <v/>
      </c>
      <c r="AA181" s="195" t="str">
        <f t="shared" si="77"/>
        <v/>
      </c>
      <c r="AB181" s="194"/>
      <c r="AC181" s="196" t="str">
        <f t="shared" si="78"/>
        <v/>
      </c>
    </row>
    <row r="182" s="174" customFormat="1" ht="14.15" hidden="1" customHeight="1" spans="1:29">
      <c r="A182" s="181">
        <v>195</v>
      </c>
      <c r="B182" s="181" t="s">
        <v>1002</v>
      </c>
      <c r="C182" s="181" t="s">
        <v>880</v>
      </c>
      <c r="D182" s="181" t="s">
        <v>1003</v>
      </c>
      <c r="E182" s="182">
        <v>72</v>
      </c>
      <c r="F182" s="182">
        <v>72</v>
      </c>
      <c r="G182" s="182">
        <v>0</v>
      </c>
      <c r="H182" s="182">
        <v>0</v>
      </c>
      <c r="I182" s="185" t="str">
        <f t="shared" si="70"/>
        <v>完工</v>
      </c>
      <c r="J182" s="186">
        <v>72</v>
      </c>
      <c r="K182" s="32" t="str">
        <f t="shared" si="71"/>
        <v/>
      </c>
      <c r="L182" s="186" t="s">
        <v>882</v>
      </c>
      <c r="M182" s="187">
        <v>44378</v>
      </c>
      <c r="N182" s="188">
        <v>44440</v>
      </c>
      <c r="O182" s="181" t="s">
        <v>883</v>
      </c>
      <c r="P182" s="181" t="s">
        <v>39</v>
      </c>
      <c r="Q182" s="191"/>
      <c r="R182" s="192"/>
      <c r="S182" s="174">
        <f t="shared" si="69"/>
        <v>0</v>
      </c>
      <c r="T182" s="193" t="str">
        <f t="shared" si="72"/>
        <v/>
      </c>
      <c r="U182" s="175" t="str">
        <f t="shared" si="67"/>
        <v> </v>
      </c>
      <c r="V182" s="175" t="str">
        <f t="shared" si="68"/>
        <v> </v>
      </c>
      <c r="W182" s="175" t="str">
        <f t="shared" si="73"/>
        <v/>
      </c>
      <c r="X182" s="175" t="str">
        <f t="shared" si="74"/>
        <v/>
      </c>
      <c r="Y182" s="195" t="str">
        <f t="shared" si="75"/>
        <v/>
      </c>
      <c r="Z182" s="195" t="str">
        <f t="shared" si="76"/>
        <v/>
      </c>
      <c r="AA182" s="195" t="str">
        <f t="shared" si="77"/>
        <v/>
      </c>
      <c r="AB182" s="194"/>
      <c r="AC182" s="196" t="str">
        <f t="shared" si="78"/>
        <v/>
      </c>
    </row>
    <row r="183" s="174" customFormat="1" ht="14.15" hidden="1" customHeight="1" spans="1:29">
      <c r="A183" s="181">
        <v>196</v>
      </c>
      <c r="B183" s="181" t="s">
        <v>1004</v>
      </c>
      <c r="C183" s="181" t="s">
        <v>880</v>
      </c>
      <c r="D183" s="181" t="s">
        <v>1005</v>
      </c>
      <c r="E183" s="182">
        <v>33</v>
      </c>
      <c r="F183" s="182">
        <v>33</v>
      </c>
      <c r="G183" s="182">
        <v>0</v>
      </c>
      <c r="H183" s="182">
        <v>0</v>
      </c>
      <c r="I183" s="185" t="str">
        <f t="shared" si="70"/>
        <v>完工</v>
      </c>
      <c r="J183" s="186">
        <v>33</v>
      </c>
      <c r="K183" s="32" t="str">
        <f t="shared" si="71"/>
        <v/>
      </c>
      <c r="L183" s="186" t="s">
        <v>882</v>
      </c>
      <c r="M183" s="187">
        <v>44378</v>
      </c>
      <c r="N183" s="188">
        <v>44440</v>
      </c>
      <c r="O183" s="181" t="s">
        <v>883</v>
      </c>
      <c r="P183" s="181" t="s">
        <v>39</v>
      </c>
      <c r="Q183" s="191"/>
      <c r="R183" s="192"/>
      <c r="S183" s="174">
        <f t="shared" si="69"/>
        <v>0</v>
      </c>
      <c r="T183" s="193" t="str">
        <f t="shared" si="72"/>
        <v/>
      </c>
      <c r="U183" s="175" t="str">
        <f t="shared" si="67"/>
        <v> </v>
      </c>
      <c r="V183" s="175" t="str">
        <f t="shared" si="68"/>
        <v> </v>
      </c>
      <c r="W183" s="175" t="str">
        <f t="shared" si="73"/>
        <v/>
      </c>
      <c r="X183" s="175" t="str">
        <f t="shared" si="74"/>
        <v/>
      </c>
      <c r="Y183" s="195" t="str">
        <f t="shared" si="75"/>
        <v/>
      </c>
      <c r="Z183" s="195" t="str">
        <f t="shared" si="76"/>
        <v/>
      </c>
      <c r="AA183" s="195" t="str">
        <f t="shared" si="77"/>
        <v/>
      </c>
      <c r="AB183" s="194"/>
      <c r="AC183" s="196" t="str">
        <f t="shared" si="78"/>
        <v/>
      </c>
    </row>
    <row r="184" s="174" customFormat="1" ht="14.15" hidden="1" customHeight="1" spans="1:29">
      <c r="A184" s="181">
        <v>197</v>
      </c>
      <c r="B184" s="181" t="s">
        <v>1006</v>
      </c>
      <c r="C184" s="181" t="s">
        <v>880</v>
      </c>
      <c r="D184" s="181" t="s">
        <v>1007</v>
      </c>
      <c r="E184" s="182">
        <v>36</v>
      </c>
      <c r="F184" s="182">
        <v>36</v>
      </c>
      <c r="G184" s="182">
        <v>0</v>
      </c>
      <c r="H184" s="182">
        <v>0</v>
      </c>
      <c r="I184" s="185" t="str">
        <f t="shared" si="70"/>
        <v>完工</v>
      </c>
      <c r="J184" s="186">
        <v>36</v>
      </c>
      <c r="K184" s="32" t="str">
        <f t="shared" si="71"/>
        <v/>
      </c>
      <c r="L184" s="186" t="s">
        <v>882</v>
      </c>
      <c r="M184" s="187">
        <v>44378</v>
      </c>
      <c r="N184" s="188">
        <v>44440</v>
      </c>
      <c r="O184" s="181" t="s">
        <v>883</v>
      </c>
      <c r="P184" s="181" t="s">
        <v>39</v>
      </c>
      <c r="Q184" s="191"/>
      <c r="R184" s="192"/>
      <c r="S184" s="174">
        <f t="shared" si="69"/>
        <v>0</v>
      </c>
      <c r="T184" s="193" t="str">
        <f t="shared" si="72"/>
        <v/>
      </c>
      <c r="U184" s="175" t="str">
        <f t="shared" si="67"/>
        <v> </v>
      </c>
      <c r="V184" s="175" t="str">
        <f t="shared" si="68"/>
        <v> </v>
      </c>
      <c r="W184" s="175" t="str">
        <f t="shared" si="73"/>
        <v/>
      </c>
      <c r="X184" s="175" t="str">
        <f t="shared" si="74"/>
        <v/>
      </c>
      <c r="Y184" s="195" t="str">
        <f t="shared" si="75"/>
        <v/>
      </c>
      <c r="Z184" s="195" t="str">
        <f t="shared" si="76"/>
        <v/>
      </c>
      <c r="AA184" s="195" t="str">
        <f t="shared" si="77"/>
        <v/>
      </c>
      <c r="AB184" s="194"/>
      <c r="AC184" s="196" t="str">
        <f t="shared" si="78"/>
        <v/>
      </c>
    </row>
    <row r="185" s="174" customFormat="1" ht="14.15" hidden="1" customHeight="1" spans="1:29">
      <c r="A185" s="181">
        <v>198</v>
      </c>
      <c r="B185" s="181" t="s">
        <v>1008</v>
      </c>
      <c r="C185" s="181" t="s">
        <v>880</v>
      </c>
      <c r="D185" s="181" t="s">
        <v>1009</v>
      </c>
      <c r="E185" s="182">
        <v>44</v>
      </c>
      <c r="F185" s="182">
        <v>44</v>
      </c>
      <c r="G185" s="182">
        <v>0</v>
      </c>
      <c r="H185" s="182">
        <v>0</v>
      </c>
      <c r="I185" s="185" t="str">
        <f t="shared" si="70"/>
        <v>完工</v>
      </c>
      <c r="J185" s="186">
        <v>44</v>
      </c>
      <c r="K185" s="32" t="str">
        <f t="shared" si="71"/>
        <v/>
      </c>
      <c r="L185" s="186" t="s">
        <v>882</v>
      </c>
      <c r="M185" s="187">
        <v>44378</v>
      </c>
      <c r="N185" s="188">
        <v>44440</v>
      </c>
      <c r="O185" s="181" t="s">
        <v>883</v>
      </c>
      <c r="P185" s="181" t="s">
        <v>39</v>
      </c>
      <c r="Q185" s="191"/>
      <c r="R185" s="192"/>
      <c r="S185" s="174">
        <f t="shared" si="69"/>
        <v>0</v>
      </c>
      <c r="T185" s="193" t="str">
        <f t="shared" si="72"/>
        <v/>
      </c>
      <c r="U185" s="175" t="str">
        <f t="shared" si="67"/>
        <v> </v>
      </c>
      <c r="V185" s="175" t="str">
        <f t="shared" si="68"/>
        <v> </v>
      </c>
      <c r="W185" s="175" t="str">
        <f t="shared" si="73"/>
        <v/>
      </c>
      <c r="X185" s="175" t="str">
        <f t="shared" si="74"/>
        <v/>
      </c>
      <c r="Y185" s="195" t="str">
        <f t="shared" si="75"/>
        <v/>
      </c>
      <c r="Z185" s="195" t="str">
        <f t="shared" si="76"/>
        <v/>
      </c>
      <c r="AA185" s="195" t="str">
        <f t="shared" si="77"/>
        <v/>
      </c>
      <c r="AB185" s="194"/>
      <c r="AC185" s="196" t="str">
        <f t="shared" si="78"/>
        <v/>
      </c>
    </row>
    <row r="186" s="174" customFormat="1" ht="14.15" hidden="1" customHeight="1" spans="1:29">
      <c r="A186" s="181">
        <v>199</v>
      </c>
      <c r="B186" s="181" t="s">
        <v>1010</v>
      </c>
      <c r="C186" s="181" t="s">
        <v>880</v>
      </c>
      <c r="D186" s="181" t="s">
        <v>1011</v>
      </c>
      <c r="E186" s="182">
        <v>14.1</v>
      </c>
      <c r="F186" s="182">
        <v>14.1</v>
      </c>
      <c r="G186" s="182">
        <v>0</v>
      </c>
      <c r="H186" s="182">
        <v>0</v>
      </c>
      <c r="I186" s="185" t="str">
        <f t="shared" si="70"/>
        <v>完工</v>
      </c>
      <c r="J186" s="186">
        <v>14.1</v>
      </c>
      <c r="K186" s="32" t="str">
        <f t="shared" si="71"/>
        <v/>
      </c>
      <c r="L186" s="186" t="s">
        <v>882</v>
      </c>
      <c r="M186" s="187">
        <v>44378</v>
      </c>
      <c r="N186" s="188">
        <v>44440</v>
      </c>
      <c r="O186" s="181" t="s">
        <v>883</v>
      </c>
      <c r="P186" s="181" t="s">
        <v>39</v>
      </c>
      <c r="Q186" s="191"/>
      <c r="R186" s="192"/>
      <c r="S186" s="174">
        <f t="shared" si="69"/>
        <v>0</v>
      </c>
      <c r="T186" s="193" t="str">
        <f t="shared" si="72"/>
        <v/>
      </c>
      <c r="U186" s="175" t="str">
        <f t="shared" ref="U186:U194" si="79">IF(I186="完工"," ",0)</f>
        <v> </v>
      </c>
      <c r="V186" s="175" t="str">
        <f t="shared" ref="V186:V194" si="80">IF(I186="完工"," ",12)</f>
        <v> </v>
      </c>
      <c r="W186" s="175" t="str">
        <f t="shared" si="73"/>
        <v/>
      </c>
      <c r="X186" s="175" t="str">
        <f t="shared" si="74"/>
        <v/>
      </c>
      <c r="Y186" s="195" t="str">
        <f t="shared" si="75"/>
        <v/>
      </c>
      <c r="Z186" s="195" t="str">
        <f t="shared" si="76"/>
        <v/>
      </c>
      <c r="AA186" s="195" t="str">
        <f t="shared" si="77"/>
        <v/>
      </c>
      <c r="AB186" s="194"/>
      <c r="AC186" s="196" t="str">
        <f t="shared" si="78"/>
        <v/>
      </c>
    </row>
    <row r="187" s="174" customFormat="1" ht="14.15" hidden="1" customHeight="1" spans="1:29">
      <c r="A187" s="181">
        <v>200</v>
      </c>
      <c r="B187" s="181" t="s">
        <v>1012</v>
      </c>
      <c r="C187" s="181" t="s">
        <v>880</v>
      </c>
      <c r="D187" s="181" t="s">
        <v>1013</v>
      </c>
      <c r="E187" s="182">
        <v>20.3</v>
      </c>
      <c r="F187" s="182">
        <v>20.3</v>
      </c>
      <c r="G187" s="182">
        <v>0</v>
      </c>
      <c r="H187" s="182">
        <v>0</v>
      </c>
      <c r="I187" s="185" t="str">
        <f t="shared" si="70"/>
        <v>完工</v>
      </c>
      <c r="J187" s="186">
        <v>20.3</v>
      </c>
      <c r="K187" s="32" t="str">
        <f t="shared" si="71"/>
        <v/>
      </c>
      <c r="L187" s="186" t="s">
        <v>882</v>
      </c>
      <c r="M187" s="187">
        <v>44378</v>
      </c>
      <c r="N187" s="188">
        <v>44440</v>
      </c>
      <c r="O187" s="181" t="s">
        <v>883</v>
      </c>
      <c r="P187" s="181" t="s">
        <v>39</v>
      </c>
      <c r="Q187" s="191"/>
      <c r="R187" s="192"/>
      <c r="S187" s="174">
        <f t="shared" si="69"/>
        <v>0</v>
      </c>
      <c r="T187" s="193" t="str">
        <f t="shared" si="72"/>
        <v/>
      </c>
      <c r="U187" s="175" t="str">
        <f t="shared" si="79"/>
        <v> </v>
      </c>
      <c r="V187" s="175" t="str">
        <f t="shared" si="80"/>
        <v> </v>
      </c>
      <c r="W187" s="175" t="str">
        <f t="shared" si="73"/>
        <v/>
      </c>
      <c r="X187" s="175" t="str">
        <f t="shared" si="74"/>
        <v/>
      </c>
      <c r="Y187" s="195" t="str">
        <f t="shared" si="75"/>
        <v/>
      </c>
      <c r="Z187" s="195" t="str">
        <f t="shared" si="76"/>
        <v/>
      </c>
      <c r="AA187" s="195" t="str">
        <f t="shared" si="77"/>
        <v/>
      </c>
      <c r="AB187" s="194"/>
      <c r="AC187" s="196" t="str">
        <f t="shared" si="78"/>
        <v/>
      </c>
    </row>
    <row r="188" s="174" customFormat="1" ht="14.15" hidden="1" customHeight="1" spans="1:29">
      <c r="A188" s="181">
        <v>201</v>
      </c>
      <c r="B188" s="181" t="s">
        <v>1014</v>
      </c>
      <c r="C188" s="181" t="s">
        <v>880</v>
      </c>
      <c r="D188" s="181" t="s">
        <v>1015</v>
      </c>
      <c r="E188" s="182">
        <v>23</v>
      </c>
      <c r="F188" s="182">
        <v>23</v>
      </c>
      <c r="G188" s="182">
        <v>0</v>
      </c>
      <c r="H188" s="182">
        <v>0</v>
      </c>
      <c r="I188" s="185" t="str">
        <f t="shared" si="70"/>
        <v>完工</v>
      </c>
      <c r="J188" s="186">
        <v>23</v>
      </c>
      <c r="K188" s="32" t="str">
        <f t="shared" si="71"/>
        <v/>
      </c>
      <c r="L188" s="186" t="s">
        <v>882</v>
      </c>
      <c r="M188" s="187">
        <v>44378</v>
      </c>
      <c r="N188" s="188">
        <v>44440</v>
      </c>
      <c r="O188" s="181" t="s">
        <v>883</v>
      </c>
      <c r="P188" s="181" t="s">
        <v>39</v>
      </c>
      <c r="Q188" s="191"/>
      <c r="R188" s="192"/>
      <c r="S188" s="174">
        <f t="shared" si="69"/>
        <v>0</v>
      </c>
      <c r="T188" s="193" t="str">
        <f t="shared" si="72"/>
        <v/>
      </c>
      <c r="U188" s="175" t="str">
        <f t="shared" si="79"/>
        <v> </v>
      </c>
      <c r="V188" s="175" t="str">
        <f t="shared" si="80"/>
        <v> </v>
      </c>
      <c r="W188" s="175" t="str">
        <f t="shared" si="73"/>
        <v/>
      </c>
      <c r="X188" s="175" t="str">
        <f t="shared" si="74"/>
        <v/>
      </c>
      <c r="Y188" s="195" t="str">
        <f t="shared" si="75"/>
        <v/>
      </c>
      <c r="Z188" s="195" t="str">
        <f t="shared" si="76"/>
        <v/>
      </c>
      <c r="AA188" s="195" t="str">
        <f t="shared" si="77"/>
        <v/>
      </c>
      <c r="AB188" s="194"/>
      <c r="AC188" s="196" t="str">
        <f t="shared" si="78"/>
        <v/>
      </c>
    </row>
    <row r="189" s="174" customFormat="1" ht="14.15" hidden="1" customHeight="1" spans="1:29">
      <c r="A189" s="181">
        <v>202</v>
      </c>
      <c r="B189" s="181" t="s">
        <v>1016</v>
      </c>
      <c r="C189" s="181" t="s">
        <v>880</v>
      </c>
      <c r="D189" s="181" t="s">
        <v>1017</v>
      </c>
      <c r="E189" s="182">
        <v>18</v>
      </c>
      <c r="F189" s="182">
        <v>18</v>
      </c>
      <c r="G189" s="182">
        <v>0</v>
      </c>
      <c r="H189" s="182">
        <v>0</v>
      </c>
      <c r="I189" s="185" t="str">
        <f t="shared" si="70"/>
        <v>完工</v>
      </c>
      <c r="J189" s="186">
        <v>18</v>
      </c>
      <c r="K189" s="32" t="str">
        <f t="shared" si="71"/>
        <v/>
      </c>
      <c r="L189" s="186" t="s">
        <v>882</v>
      </c>
      <c r="M189" s="187">
        <v>44378</v>
      </c>
      <c r="N189" s="188">
        <v>44440</v>
      </c>
      <c r="O189" s="181" t="s">
        <v>883</v>
      </c>
      <c r="P189" s="181" t="s">
        <v>39</v>
      </c>
      <c r="Q189" s="191"/>
      <c r="R189" s="192"/>
      <c r="S189" s="174">
        <f t="shared" si="69"/>
        <v>0</v>
      </c>
      <c r="T189" s="193" t="str">
        <f t="shared" si="72"/>
        <v/>
      </c>
      <c r="U189" s="175" t="str">
        <f t="shared" si="79"/>
        <v> </v>
      </c>
      <c r="V189" s="175" t="str">
        <f t="shared" si="80"/>
        <v> </v>
      </c>
      <c r="W189" s="175" t="str">
        <f t="shared" si="73"/>
        <v/>
      </c>
      <c r="X189" s="175" t="str">
        <f t="shared" si="74"/>
        <v/>
      </c>
      <c r="Y189" s="195" t="str">
        <f t="shared" si="75"/>
        <v/>
      </c>
      <c r="Z189" s="195" t="str">
        <f t="shared" si="76"/>
        <v/>
      </c>
      <c r="AA189" s="195" t="str">
        <f t="shared" si="77"/>
        <v/>
      </c>
      <c r="AB189" s="194"/>
      <c r="AC189" s="196" t="str">
        <f t="shared" si="78"/>
        <v/>
      </c>
    </row>
    <row r="190" s="174" customFormat="1" ht="14.15" hidden="1" customHeight="1" spans="1:29">
      <c r="A190" s="181">
        <v>203</v>
      </c>
      <c r="B190" s="181" t="s">
        <v>1018</v>
      </c>
      <c r="C190" s="181" t="s">
        <v>880</v>
      </c>
      <c r="D190" s="181" t="s">
        <v>1019</v>
      </c>
      <c r="E190" s="182">
        <v>12</v>
      </c>
      <c r="F190" s="182">
        <v>12</v>
      </c>
      <c r="G190" s="182">
        <v>0</v>
      </c>
      <c r="H190" s="182">
        <v>0</v>
      </c>
      <c r="I190" s="185" t="str">
        <f t="shared" si="70"/>
        <v>完工</v>
      </c>
      <c r="J190" s="186">
        <v>12</v>
      </c>
      <c r="K190" s="32" t="str">
        <f t="shared" si="71"/>
        <v/>
      </c>
      <c r="L190" s="186" t="s">
        <v>882</v>
      </c>
      <c r="M190" s="187">
        <v>44378</v>
      </c>
      <c r="N190" s="188">
        <v>44440</v>
      </c>
      <c r="O190" s="181" t="s">
        <v>883</v>
      </c>
      <c r="P190" s="181" t="s">
        <v>39</v>
      </c>
      <c r="Q190" s="191"/>
      <c r="R190" s="192"/>
      <c r="S190" s="174">
        <f t="shared" si="69"/>
        <v>0</v>
      </c>
      <c r="T190" s="193" t="str">
        <f t="shared" si="72"/>
        <v/>
      </c>
      <c r="U190" s="175" t="str">
        <f t="shared" si="79"/>
        <v> </v>
      </c>
      <c r="V190" s="175" t="str">
        <f t="shared" si="80"/>
        <v> </v>
      </c>
      <c r="W190" s="175" t="str">
        <f t="shared" si="73"/>
        <v/>
      </c>
      <c r="X190" s="175" t="str">
        <f t="shared" si="74"/>
        <v/>
      </c>
      <c r="Y190" s="195" t="str">
        <f t="shared" si="75"/>
        <v/>
      </c>
      <c r="Z190" s="195" t="str">
        <f t="shared" si="76"/>
        <v/>
      </c>
      <c r="AA190" s="195" t="str">
        <f t="shared" si="77"/>
        <v/>
      </c>
      <c r="AB190" s="194"/>
      <c r="AC190" s="196" t="str">
        <f t="shared" si="78"/>
        <v/>
      </c>
    </row>
    <row r="191" s="174" customFormat="1" ht="14.15" hidden="1" customHeight="1" spans="1:29">
      <c r="A191" s="181">
        <v>204</v>
      </c>
      <c r="B191" s="181" t="s">
        <v>1020</v>
      </c>
      <c r="C191" s="181" t="s">
        <v>880</v>
      </c>
      <c r="D191" s="181" t="s">
        <v>1021</v>
      </c>
      <c r="E191" s="182">
        <v>120</v>
      </c>
      <c r="F191" s="182">
        <v>120</v>
      </c>
      <c r="G191" s="182">
        <v>0</v>
      </c>
      <c r="H191" s="182">
        <v>0</v>
      </c>
      <c r="I191" s="185" t="str">
        <f t="shared" si="70"/>
        <v>完工</v>
      </c>
      <c r="J191" s="186">
        <v>120</v>
      </c>
      <c r="K191" s="32" t="str">
        <f t="shared" si="71"/>
        <v/>
      </c>
      <c r="L191" s="186" t="s">
        <v>882</v>
      </c>
      <c r="M191" s="187">
        <v>44378</v>
      </c>
      <c r="N191" s="188">
        <v>44440</v>
      </c>
      <c r="O191" s="181" t="s">
        <v>883</v>
      </c>
      <c r="P191" s="181" t="s">
        <v>39</v>
      </c>
      <c r="Q191" s="191"/>
      <c r="R191" s="192"/>
      <c r="S191" s="174">
        <f t="shared" si="69"/>
        <v>0</v>
      </c>
      <c r="T191" s="193" t="str">
        <f t="shared" si="72"/>
        <v/>
      </c>
      <c r="U191" s="175" t="str">
        <f t="shared" si="79"/>
        <v> </v>
      </c>
      <c r="V191" s="175" t="str">
        <f t="shared" si="80"/>
        <v> </v>
      </c>
      <c r="W191" s="175" t="str">
        <f t="shared" si="73"/>
        <v/>
      </c>
      <c r="X191" s="175" t="str">
        <f t="shared" si="74"/>
        <v/>
      </c>
      <c r="Y191" s="195" t="str">
        <f t="shared" si="75"/>
        <v/>
      </c>
      <c r="Z191" s="195" t="str">
        <f t="shared" si="76"/>
        <v/>
      </c>
      <c r="AA191" s="195" t="str">
        <f t="shared" si="77"/>
        <v/>
      </c>
      <c r="AB191" s="194"/>
      <c r="AC191" s="196" t="str">
        <f t="shared" si="78"/>
        <v/>
      </c>
    </row>
    <row r="192" s="174" customFormat="1" ht="14.15" hidden="1" customHeight="1" spans="1:29">
      <c r="A192" s="181">
        <v>205</v>
      </c>
      <c r="B192" s="181" t="s">
        <v>1022</v>
      </c>
      <c r="C192" s="181" t="s">
        <v>880</v>
      </c>
      <c r="D192" s="181" t="s">
        <v>1023</v>
      </c>
      <c r="E192" s="182">
        <v>6</v>
      </c>
      <c r="F192" s="182">
        <v>6</v>
      </c>
      <c r="G192" s="182">
        <v>0</v>
      </c>
      <c r="H192" s="182">
        <v>0</v>
      </c>
      <c r="I192" s="185" t="str">
        <f t="shared" si="70"/>
        <v>完工</v>
      </c>
      <c r="J192" s="186">
        <v>6</v>
      </c>
      <c r="K192" s="32" t="str">
        <f t="shared" si="71"/>
        <v/>
      </c>
      <c r="L192" s="186" t="s">
        <v>882</v>
      </c>
      <c r="M192" s="187">
        <v>44378</v>
      </c>
      <c r="N192" s="188">
        <v>44440</v>
      </c>
      <c r="O192" s="181" t="s">
        <v>883</v>
      </c>
      <c r="P192" s="181" t="s">
        <v>39</v>
      </c>
      <c r="Q192" s="191"/>
      <c r="R192" s="192"/>
      <c r="S192" s="174">
        <f t="shared" si="69"/>
        <v>0</v>
      </c>
      <c r="T192" s="193" t="str">
        <f t="shared" si="72"/>
        <v/>
      </c>
      <c r="U192" s="175" t="str">
        <f t="shared" si="79"/>
        <v> </v>
      </c>
      <c r="V192" s="175" t="str">
        <f t="shared" si="80"/>
        <v> </v>
      </c>
      <c r="W192" s="175" t="str">
        <f t="shared" si="73"/>
        <v/>
      </c>
      <c r="X192" s="175" t="str">
        <f t="shared" si="74"/>
        <v/>
      </c>
      <c r="Y192" s="195" t="str">
        <f t="shared" si="75"/>
        <v/>
      </c>
      <c r="Z192" s="195" t="str">
        <f t="shared" si="76"/>
        <v/>
      </c>
      <c r="AA192" s="195" t="str">
        <f t="shared" si="77"/>
        <v/>
      </c>
      <c r="AB192" s="194"/>
      <c r="AC192" s="196" t="str">
        <f t="shared" si="78"/>
        <v/>
      </c>
    </row>
    <row r="193" s="174" customFormat="1" ht="14.15" hidden="1" customHeight="1" spans="1:29">
      <c r="A193" s="181">
        <v>206</v>
      </c>
      <c r="B193" s="181" t="s">
        <v>1024</v>
      </c>
      <c r="C193" s="181" t="s">
        <v>880</v>
      </c>
      <c r="D193" s="181" t="s">
        <v>1025</v>
      </c>
      <c r="E193" s="182">
        <v>5.65</v>
      </c>
      <c r="F193" s="182">
        <v>5.65</v>
      </c>
      <c r="G193" s="182">
        <v>0</v>
      </c>
      <c r="H193" s="182">
        <v>0</v>
      </c>
      <c r="I193" s="185" t="str">
        <f t="shared" si="70"/>
        <v>完工</v>
      </c>
      <c r="J193" s="186">
        <v>5.65</v>
      </c>
      <c r="K193" s="32" t="str">
        <f t="shared" si="71"/>
        <v/>
      </c>
      <c r="L193" s="186" t="s">
        <v>882</v>
      </c>
      <c r="M193" s="187">
        <v>44378</v>
      </c>
      <c r="N193" s="188">
        <v>44440</v>
      </c>
      <c r="O193" s="181" t="s">
        <v>883</v>
      </c>
      <c r="P193" s="181" t="s">
        <v>39</v>
      </c>
      <c r="Q193" s="191"/>
      <c r="R193" s="192"/>
      <c r="S193" s="174">
        <f t="shared" ref="S193:S195" si="81">E193-F193-G193-H193</f>
        <v>0</v>
      </c>
      <c r="T193" s="193" t="str">
        <f t="shared" si="72"/>
        <v/>
      </c>
      <c r="U193" s="175" t="str">
        <f t="shared" si="79"/>
        <v> </v>
      </c>
      <c r="V193" s="175" t="str">
        <f t="shared" si="80"/>
        <v> </v>
      </c>
      <c r="W193" s="175" t="str">
        <f t="shared" si="73"/>
        <v/>
      </c>
      <c r="X193" s="175" t="str">
        <f t="shared" si="74"/>
        <v/>
      </c>
      <c r="Y193" s="195" t="str">
        <f t="shared" si="75"/>
        <v/>
      </c>
      <c r="Z193" s="195" t="str">
        <f t="shared" si="76"/>
        <v/>
      </c>
      <c r="AA193" s="195" t="str">
        <f t="shared" si="77"/>
        <v/>
      </c>
      <c r="AB193" s="194"/>
      <c r="AC193" s="196" t="str">
        <f t="shared" si="78"/>
        <v/>
      </c>
    </row>
    <row r="194" s="174" customFormat="1" ht="14.15" hidden="1" customHeight="1" spans="1:29">
      <c r="A194" s="181">
        <v>207</v>
      </c>
      <c r="B194" s="181" t="s">
        <v>1026</v>
      </c>
      <c r="C194" s="181" t="s">
        <v>1027</v>
      </c>
      <c r="D194" s="181" t="s">
        <v>1028</v>
      </c>
      <c r="E194" s="182">
        <v>20</v>
      </c>
      <c r="F194" s="182">
        <v>20</v>
      </c>
      <c r="G194" s="182">
        <v>0</v>
      </c>
      <c r="H194" s="182">
        <v>0</v>
      </c>
      <c r="I194" s="185" t="str">
        <f t="shared" ref="I194:I226" si="82">IF(E194=0,"完工",IF(J194&gt;0,IF(J194=E194,"完工","在建"),"未开工"))</f>
        <v>完工</v>
      </c>
      <c r="J194" s="186">
        <v>20</v>
      </c>
      <c r="K194" s="32" t="str">
        <f t="shared" ref="K194:K226" si="83">IF(G194=0,"",J194-F194)</f>
        <v/>
      </c>
      <c r="L194" s="186" t="s">
        <v>882</v>
      </c>
      <c r="M194" s="187">
        <v>44409</v>
      </c>
      <c r="N194" s="188">
        <v>44440</v>
      </c>
      <c r="O194" s="181" t="s">
        <v>883</v>
      </c>
      <c r="P194" s="181" t="s">
        <v>39</v>
      </c>
      <c r="Q194" s="191"/>
      <c r="R194" s="192"/>
      <c r="S194" s="174">
        <f t="shared" si="81"/>
        <v>0</v>
      </c>
      <c r="T194" s="193" t="str">
        <f t="shared" ref="T194:T195" si="84">IF(I194="完工","",J194-F194-K194)</f>
        <v/>
      </c>
      <c r="U194" s="175" t="str">
        <f t="shared" si="79"/>
        <v> </v>
      </c>
      <c r="V194" s="175" t="str">
        <f t="shared" si="80"/>
        <v> </v>
      </c>
      <c r="W194" s="175" t="str">
        <f t="shared" ref="W194:W195" si="85">IF(I194="完工","",12-U194-V194)</f>
        <v/>
      </c>
      <c r="X194" s="175" t="str">
        <f t="shared" ref="X194:X195" si="86">IF(I194="完工","",$AB$2-U194)</f>
        <v/>
      </c>
      <c r="Y194" s="195" t="str">
        <f t="shared" ref="Y194:Y195" si="87">IF(I194="完工","",ROUND(X194/W194,3))</f>
        <v/>
      </c>
      <c r="Z194" s="195" t="str">
        <f t="shared" ref="Z194:Z195" si="88">IF(I194="完工","",ROUND(K194/G194,3))</f>
        <v/>
      </c>
      <c r="AA194" s="195" t="str">
        <f t="shared" ref="AA194:AA195" si="89">IF(I194="完工","",Z194-Y194)</f>
        <v/>
      </c>
      <c r="AB194" s="194"/>
      <c r="AC194" s="196" t="str">
        <f t="shared" ref="AC194:AC227" si="90">IF(E194=0,"",IF(ROUND(J194/E194,3)=1,"",ROUND(J194/E194,3)))</f>
        <v/>
      </c>
    </row>
    <row r="195" s="174" customFormat="1" ht="14.15" hidden="1" customHeight="1" spans="1:29">
      <c r="A195" s="181">
        <v>208</v>
      </c>
      <c r="B195" s="181" t="s">
        <v>1029</v>
      </c>
      <c r="C195" s="181" t="s">
        <v>1030</v>
      </c>
      <c r="D195" s="181" t="s">
        <v>1031</v>
      </c>
      <c r="E195" s="182">
        <v>26.28</v>
      </c>
      <c r="F195" s="182">
        <v>26.28</v>
      </c>
      <c r="G195" s="182">
        <v>0</v>
      </c>
      <c r="H195" s="182">
        <v>0</v>
      </c>
      <c r="I195" s="185" t="str">
        <f t="shared" si="82"/>
        <v>完工</v>
      </c>
      <c r="J195" s="186">
        <v>26.28</v>
      </c>
      <c r="K195" s="32" t="str">
        <f t="shared" si="83"/>
        <v/>
      </c>
      <c r="L195" s="186" t="s">
        <v>1032</v>
      </c>
      <c r="M195" s="187" t="s">
        <v>882</v>
      </c>
      <c r="N195" s="188" t="s">
        <v>882</v>
      </c>
      <c r="O195" s="181" t="s">
        <v>1033</v>
      </c>
      <c r="P195" s="181" t="s">
        <v>66</v>
      </c>
      <c r="Q195" s="191"/>
      <c r="R195" s="192"/>
      <c r="S195" s="174">
        <f t="shared" si="81"/>
        <v>0</v>
      </c>
      <c r="T195" s="193" t="str">
        <f t="shared" si="84"/>
        <v/>
      </c>
      <c r="U195" s="175"/>
      <c r="V195" s="175"/>
      <c r="W195" s="175" t="str">
        <f t="shared" si="85"/>
        <v/>
      </c>
      <c r="X195" s="175" t="str">
        <f t="shared" si="86"/>
        <v/>
      </c>
      <c r="Y195" s="195" t="str">
        <f t="shared" si="87"/>
        <v/>
      </c>
      <c r="Z195" s="195" t="str">
        <f t="shared" si="88"/>
        <v/>
      </c>
      <c r="AA195" s="195" t="str">
        <f t="shared" si="89"/>
        <v/>
      </c>
      <c r="AB195" s="194"/>
      <c r="AC195" s="196" t="str">
        <f t="shared" si="90"/>
        <v/>
      </c>
    </row>
    <row r="196" s="174" customFormat="1" ht="14.15" hidden="1" customHeight="1" spans="1:29">
      <c r="A196" s="199">
        <v>209</v>
      </c>
      <c r="B196" s="199" t="s">
        <v>1034</v>
      </c>
      <c r="C196" s="199" t="s">
        <v>1035</v>
      </c>
      <c r="D196" s="199" t="s">
        <v>1036</v>
      </c>
      <c r="E196" s="200">
        <v>5897</v>
      </c>
      <c r="F196" s="200">
        <v>0</v>
      </c>
      <c r="G196" s="200">
        <v>4718</v>
      </c>
      <c r="H196" s="200">
        <v>0</v>
      </c>
      <c r="I196" s="185" t="str">
        <f t="shared" si="82"/>
        <v>在建</v>
      </c>
      <c r="J196" s="186">
        <v>5000</v>
      </c>
      <c r="K196" s="32">
        <f t="shared" si="83"/>
        <v>5000</v>
      </c>
      <c r="L196" s="186"/>
      <c r="M196" s="187">
        <v>44652</v>
      </c>
      <c r="N196" s="188">
        <v>44896</v>
      </c>
      <c r="O196" s="181" t="s">
        <v>57</v>
      </c>
      <c r="P196" s="181" t="s">
        <v>66</v>
      </c>
      <c r="Q196" s="191"/>
      <c r="R196" s="192"/>
      <c r="S196" s="174">
        <f t="shared" ref="S196:S226" si="91">E196-F196-G196-H196</f>
        <v>1179</v>
      </c>
      <c r="T196" s="193">
        <f t="shared" ref="T196:T226" si="92">IF(I196="完工","",J196-F196-K196)</f>
        <v>0</v>
      </c>
      <c r="U196" s="190">
        <f>IF(I196="完工"," ",3)</f>
        <v>3</v>
      </c>
      <c r="V196" s="190">
        <f>IF(I196="完工"," ",0)</f>
        <v>0</v>
      </c>
      <c r="W196" s="175">
        <f t="shared" ref="W196:W226" si="93">IF(I196="完工","",12-U196-V196)</f>
        <v>9</v>
      </c>
      <c r="X196" s="175">
        <f t="shared" ref="X196:X226" si="94">IF(I196="完工","",$AB$2-U196)</f>
        <v>3.5</v>
      </c>
      <c r="Y196" s="195">
        <f t="shared" ref="Y196:Y226" si="95">IF(I196="完工","",ROUND(X196/W196,3))</f>
        <v>0.389</v>
      </c>
      <c r="Z196" s="195">
        <f t="shared" ref="Z196:Z226" si="96">IF(I196="完工","",ROUND(K196/G196,3))</f>
        <v>1.06</v>
      </c>
      <c r="AA196" s="195">
        <f t="shared" ref="AA196:AA226" si="97">IF(I196="完工","",Z196-Y196)</f>
        <v>0.671</v>
      </c>
      <c r="AB196" s="194"/>
      <c r="AC196" s="196">
        <f t="shared" si="90"/>
        <v>0.848</v>
      </c>
    </row>
    <row r="197" s="174" customFormat="1" ht="14.15" hidden="1" customHeight="1" spans="1:29">
      <c r="A197" s="199">
        <v>210</v>
      </c>
      <c r="B197" s="199" t="s">
        <v>1037</v>
      </c>
      <c r="C197" s="199" t="s">
        <v>1035</v>
      </c>
      <c r="D197" s="199" t="s">
        <v>1038</v>
      </c>
      <c r="E197" s="200">
        <v>3257</v>
      </c>
      <c r="F197" s="200">
        <v>0</v>
      </c>
      <c r="G197" s="200">
        <v>2606</v>
      </c>
      <c r="H197" s="200">
        <v>0</v>
      </c>
      <c r="I197" s="185" t="str">
        <f t="shared" si="82"/>
        <v>在建</v>
      </c>
      <c r="J197" s="186">
        <v>3490</v>
      </c>
      <c r="K197" s="32">
        <f t="shared" si="83"/>
        <v>3490</v>
      </c>
      <c r="L197" s="186"/>
      <c r="M197" s="187">
        <v>44652</v>
      </c>
      <c r="N197" s="188">
        <v>44896</v>
      </c>
      <c r="O197" s="181" t="s">
        <v>57</v>
      </c>
      <c r="P197" s="181" t="s">
        <v>132</v>
      </c>
      <c r="Q197" s="191"/>
      <c r="R197" s="192"/>
      <c r="S197" s="174">
        <f t="shared" si="91"/>
        <v>651</v>
      </c>
      <c r="T197" s="193">
        <f t="shared" si="92"/>
        <v>0</v>
      </c>
      <c r="U197" s="190">
        <f t="shared" ref="U197:U198" si="98">IF(I197="完工"," ",3)</f>
        <v>3</v>
      </c>
      <c r="V197" s="190">
        <f t="shared" ref="V197:V202" si="99">IF(I197="完工"," ",0)</f>
        <v>0</v>
      </c>
      <c r="W197" s="175">
        <f t="shared" si="93"/>
        <v>9</v>
      </c>
      <c r="X197" s="175">
        <f t="shared" si="94"/>
        <v>3.5</v>
      </c>
      <c r="Y197" s="195">
        <f t="shared" si="95"/>
        <v>0.389</v>
      </c>
      <c r="Z197" s="195">
        <f t="shared" si="96"/>
        <v>1.339</v>
      </c>
      <c r="AA197" s="195">
        <f t="shared" si="97"/>
        <v>0.95</v>
      </c>
      <c r="AB197" s="194"/>
      <c r="AC197" s="196">
        <f t="shared" si="90"/>
        <v>1.072</v>
      </c>
    </row>
    <row r="198" s="174" customFormat="1" ht="14.15" hidden="1" customHeight="1" spans="1:29">
      <c r="A198" s="199">
        <v>211</v>
      </c>
      <c r="B198" s="199" t="s">
        <v>1039</v>
      </c>
      <c r="C198" s="199" t="s">
        <v>1035</v>
      </c>
      <c r="D198" s="199" t="s">
        <v>1040</v>
      </c>
      <c r="E198" s="200">
        <v>923</v>
      </c>
      <c r="F198" s="200">
        <v>0</v>
      </c>
      <c r="G198" s="200">
        <v>738</v>
      </c>
      <c r="H198" s="200">
        <v>0</v>
      </c>
      <c r="I198" s="185" t="str">
        <f t="shared" si="82"/>
        <v>在建</v>
      </c>
      <c r="J198" s="186">
        <v>680</v>
      </c>
      <c r="K198" s="32">
        <f t="shared" si="83"/>
        <v>680</v>
      </c>
      <c r="L198" s="186"/>
      <c r="M198" s="187">
        <v>44652</v>
      </c>
      <c r="N198" s="188">
        <v>45078</v>
      </c>
      <c r="O198" s="181" t="s">
        <v>57</v>
      </c>
      <c r="P198" s="181" t="s">
        <v>42</v>
      </c>
      <c r="Q198" s="191"/>
      <c r="R198" s="192"/>
      <c r="S198" s="174">
        <f t="shared" si="91"/>
        <v>185</v>
      </c>
      <c r="T198" s="193">
        <f t="shared" si="92"/>
        <v>0</v>
      </c>
      <c r="U198" s="190">
        <f t="shared" si="98"/>
        <v>3</v>
      </c>
      <c r="V198" s="190">
        <f t="shared" si="99"/>
        <v>0</v>
      </c>
      <c r="W198" s="175">
        <f t="shared" si="93"/>
        <v>9</v>
      </c>
      <c r="X198" s="175">
        <f t="shared" si="94"/>
        <v>3.5</v>
      </c>
      <c r="Y198" s="195">
        <f t="shared" si="95"/>
        <v>0.389</v>
      </c>
      <c r="Z198" s="195">
        <f t="shared" si="96"/>
        <v>0.921</v>
      </c>
      <c r="AA198" s="195">
        <f t="shared" si="97"/>
        <v>0.532</v>
      </c>
      <c r="AB198" s="194"/>
      <c r="AC198" s="196">
        <f t="shared" si="90"/>
        <v>0.737</v>
      </c>
    </row>
    <row r="199" s="174" customFormat="1" ht="14.15" hidden="1" customHeight="1" spans="1:29">
      <c r="A199" s="199">
        <v>212</v>
      </c>
      <c r="B199" s="199" t="s">
        <v>1041</v>
      </c>
      <c r="C199" s="199" t="s">
        <v>1035</v>
      </c>
      <c r="D199" s="199" t="s">
        <v>1042</v>
      </c>
      <c r="E199" s="200">
        <v>936</v>
      </c>
      <c r="F199" s="200">
        <v>0</v>
      </c>
      <c r="G199" s="200">
        <v>749</v>
      </c>
      <c r="H199" s="200">
        <v>0</v>
      </c>
      <c r="I199" s="185" t="str">
        <f t="shared" si="82"/>
        <v>在建</v>
      </c>
      <c r="J199" s="186">
        <v>880</v>
      </c>
      <c r="K199" s="32">
        <f t="shared" si="83"/>
        <v>880</v>
      </c>
      <c r="L199" s="186"/>
      <c r="M199" s="187">
        <v>44682</v>
      </c>
      <c r="N199" s="188">
        <v>44896</v>
      </c>
      <c r="O199" s="181" t="s">
        <v>57</v>
      </c>
      <c r="P199" s="181" t="s">
        <v>33</v>
      </c>
      <c r="Q199" s="191"/>
      <c r="R199" s="192"/>
      <c r="S199" s="174">
        <f t="shared" si="91"/>
        <v>187</v>
      </c>
      <c r="T199" s="193">
        <f t="shared" si="92"/>
        <v>0</v>
      </c>
      <c r="U199" s="190">
        <f>IF(I199="完工"," ",4)</f>
        <v>4</v>
      </c>
      <c r="V199" s="190">
        <f t="shared" si="99"/>
        <v>0</v>
      </c>
      <c r="W199" s="175">
        <f t="shared" si="93"/>
        <v>8</v>
      </c>
      <c r="X199" s="175">
        <f t="shared" si="94"/>
        <v>2.5</v>
      </c>
      <c r="Y199" s="195">
        <f t="shared" si="95"/>
        <v>0.313</v>
      </c>
      <c r="Z199" s="195">
        <f t="shared" si="96"/>
        <v>1.175</v>
      </c>
      <c r="AA199" s="195">
        <f t="shared" si="97"/>
        <v>0.862</v>
      </c>
      <c r="AB199" s="194"/>
      <c r="AC199" s="196">
        <f t="shared" si="90"/>
        <v>0.94</v>
      </c>
    </row>
    <row r="200" s="174" customFormat="1" ht="14.15" hidden="1" customHeight="1" spans="1:29">
      <c r="A200" s="199">
        <v>213</v>
      </c>
      <c r="B200" s="199" t="s">
        <v>1043</v>
      </c>
      <c r="C200" s="199" t="s">
        <v>1035</v>
      </c>
      <c r="D200" s="199" t="s">
        <v>608</v>
      </c>
      <c r="E200" s="200">
        <v>1885.01</v>
      </c>
      <c r="F200" s="200">
        <v>0</v>
      </c>
      <c r="G200" s="200">
        <v>1508</v>
      </c>
      <c r="H200" s="200">
        <v>0</v>
      </c>
      <c r="I200" s="185" t="str">
        <f t="shared" si="82"/>
        <v>在建</v>
      </c>
      <c r="J200" s="186">
        <v>1495</v>
      </c>
      <c r="K200" s="32">
        <f t="shared" si="83"/>
        <v>1495</v>
      </c>
      <c r="L200" s="186"/>
      <c r="M200" s="187">
        <v>44652</v>
      </c>
      <c r="N200" s="188">
        <v>44896</v>
      </c>
      <c r="O200" s="181" t="s">
        <v>57</v>
      </c>
      <c r="P200" s="181" t="s">
        <v>36</v>
      </c>
      <c r="Q200" s="191"/>
      <c r="R200" s="192"/>
      <c r="S200" s="174">
        <f t="shared" si="91"/>
        <v>377.01</v>
      </c>
      <c r="T200" s="193">
        <f t="shared" si="92"/>
        <v>0</v>
      </c>
      <c r="U200" s="190">
        <f t="shared" ref="U200:U201" si="100">IF(I200="完工"," ",3)</f>
        <v>3</v>
      </c>
      <c r="V200" s="190">
        <f t="shared" si="99"/>
        <v>0</v>
      </c>
      <c r="W200" s="175">
        <f t="shared" si="93"/>
        <v>9</v>
      </c>
      <c r="X200" s="175">
        <f t="shared" si="94"/>
        <v>3.5</v>
      </c>
      <c r="Y200" s="195">
        <f t="shared" si="95"/>
        <v>0.389</v>
      </c>
      <c r="Z200" s="195">
        <f t="shared" si="96"/>
        <v>0.991</v>
      </c>
      <c r="AA200" s="195">
        <f t="shared" si="97"/>
        <v>0.602</v>
      </c>
      <c r="AB200" s="194"/>
      <c r="AC200" s="196">
        <f t="shared" si="90"/>
        <v>0.793</v>
      </c>
    </row>
    <row r="201" s="174" customFormat="1" ht="14.15" hidden="1" customHeight="1" spans="1:29">
      <c r="A201" s="199">
        <v>214</v>
      </c>
      <c r="B201" s="199" t="s">
        <v>1044</v>
      </c>
      <c r="C201" s="199" t="s">
        <v>1035</v>
      </c>
      <c r="D201" s="199" t="s">
        <v>606</v>
      </c>
      <c r="E201" s="200">
        <v>2355.47</v>
      </c>
      <c r="F201" s="200">
        <v>0</v>
      </c>
      <c r="G201" s="200">
        <v>1884</v>
      </c>
      <c r="H201" s="200">
        <v>0</v>
      </c>
      <c r="I201" s="185" t="str">
        <f t="shared" si="82"/>
        <v>在建</v>
      </c>
      <c r="J201" s="186">
        <v>1721</v>
      </c>
      <c r="K201" s="32">
        <f t="shared" si="83"/>
        <v>1721</v>
      </c>
      <c r="L201" s="186"/>
      <c r="M201" s="187">
        <v>44652</v>
      </c>
      <c r="N201" s="188">
        <v>44896</v>
      </c>
      <c r="O201" s="181" t="s">
        <v>57</v>
      </c>
      <c r="P201" s="181" t="s">
        <v>36</v>
      </c>
      <c r="Q201" s="191"/>
      <c r="R201" s="192"/>
      <c r="S201" s="174">
        <f t="shared" si="91"/>
        <v>471.47</v>
      </c>
      <c r="T201" s="193">
        <f t="shared" si="92"/>
        <v>0</v>
      </c>
      <c r="U201" s="190">
        <f t="shared" si="100"/>
        <v>3</v>
      </c>
      <c r="V201" s="190">
        <f t="shared" si="99"/>
        <v>0</v>
      </c>
      <c r="W201" s="175">
        <f t="shared" si="93"/>
        <v>9</v>
      </c>
      <c r="X201" s="175">
        <f t="shared" si="94"/>
        <v>3.5</v>
      </c>
      <c r="Y201" s="195">
        <f t="shared" si="95"/>
        <v>0.389</v>
      </c>
      <c r="Z201" s="195">
        <f t="shared" si="96"/>
        <v>0.913</v>
      </c>
      <c r="AA201" s="195">
        <f t="shared" si="97"/>
        <v>0.524</v>
      </c>
      <c r="AB201" s="194"/>
      <c r="AC201" s="196">
        <f t="shared" si="90"/>
        <v>0.731</v>
      </c>
    </row>
    <row r="202" s="174" customFormat="1" ht="14.15" hidden="1" customHeight="1" spans="1:29">
      <c r="A202" s="199">
        <v>215</v>
      </c>
      <c r="B202" s="199" t="s">
        <v>1045</v>
      </c>
      <c r="C202" s="199" t="s">
        <v>1035</v>
      </c>
      <c r="D202" s="199" t="s">
        <v>1046</v>
      </c>
      <c r="E202" s="200">
        <v>460</v>
      </c>
      <c r="F202" s="200">
        <v>0</v>
      </c>
      <c r="G202" s="200">
        <v>460</v>
      </c>
      <c r="H202" s="200">
        <v>0</v>
      </c>
      <c r="I202" s="185" t="str">
        <f t="shared" si="82"/>
        <v>在建</v>
      </c>
      <c r="J202" s="186">
        <v>380</v>
      </c>
      <c r="K202" s="32">
        <f t="shared" si="83"/>
        <v>380</v>
      </c>
      <c r="L202" s="186" t="s">
        <v>1047</v>
      </c>
      <c r="M202" s="187">
        <v>44682</v>
      </c>
      <c r="N202" s="188">
        <v>44896</v>
      </c>
      <c r="O202" s="181" t="s">
        <v>57</v>
      </c>
      <c r="P202" s="181" t="s">
        <v>39</v>
      </c>
      <c r="Q202" s="191"/>
      <c r="R202" s="192"/>
      <c r="S202" s="174">
        <f t="shared" si="91"/>
        <v>0</v>
      </c>
      <c r="T202" s="193">
        <f t="shared" si="92"/>
        <v>0</v>
      </c>
      <c r="U202" s="190">
        <f t="shared" ref="U202:U216" si="101">IF(I202="完工"," ",4)</f>
        <v>4</v>
      </c>
      <c r="V202" s="190">
        <f t="shared" si="99"/>
        <v>0</v>
      </c>
      <c r="W202" s="175">
        <f t="shared" si="93"/>
        <v>8</v>
      </c>
      <c r="X202" s="175">
        <f t="shared" si="94"/>
        <v>2.5</v>
      </c>
      <c r="Y202" s="195">
        <f t="shared" si="95"/>
        <v>0.313</v>
      </c>
      <c r="Z202" s="195">
        <f t="shared" si="96"/>
        <v>0.826</v>
      </c>
      <c r="AA202" s="195">
        <f t="shared" si="97"/>
        <v>0.513</v>
      </c>
      <c r="AB202" s="194"/>
      <c r="AC202" s="196">
        <f t="shared" si="90"/>
        <v>0.826</v>
      </c>
    </row>
    <row r="203" s="174" customFormat="1" ht="14.15" hidden="1" customHeight="1" spans="1:29">
      <c r="A203" s="199">
        <v>216</v>
      </c>
      <c r="B203" s="199" t="s">
        <v>1048</v>
      </c>
      <c r="C203" s="199" t="s">
        <v>1035</v>
      </c>
      <c r="D203" s="199" t="s">
        <v>1049</v>
      </c>
      <c r="E203" s="200">
        <v>20</v>
      </c>
      <c r="F203" s="200">
        <v>0</v>
      </c>
      <c r="G203" s="200">
        <v>20</v>
      </c>
      <c r="H203" s="200">
        <v>0</v>
      </c>
      <c r="I203" s="185" t="str">
        <f t="shared" si="82"/>
        <v>完工</v>
      </c>
      <c r="J203" s="186">
        <v>20</v>
      </c>
      <c r="K203" s="32">
        <f t="shared" si="83"/>
        <v>20</v>
      </c>
      <c r="L203" s="186"/>
      <c r="M203" s="187">
        <v>44682</v>
      </c>
      <c r="N203" s="188">
        <v>44713</v>
      </c>
      <c r="O203" s="181" t="s">
        <v>57</v>
      </c>
      <c r="P203" s="181" t="s">
        <v>42</v>
      </c>
      <c r="Q203" s="191"/>
      <c r="R203" s="192"/>
      <c r="S203" s="174">
        <f t="shared" si="91"/>
        <v>0</v>
      </c>
      <c r="T203" s="193" t="str">
        <f t="shared" si="92"/>
        <v/>
      </c>
      <c r="U203" s="190" t="str">
        <f t="shared" si="101"/>
        <v> </v>
      </c>
      <c r="V203" s="190" t="str">
        <f>IF(I203="完工"," ",6)</f>
        <v> </v>
      </c>
      <c r="W203" s="175" t="str">
        <f t="shared" si="93"/>
        <v/>
      </c>
      <c r="X203" s="175" t="str">
        <f t="shared" si="94"/>
        <v/>
      </c>
      <c r="Y203" s="195" t="str">
        <f t="shared" si="95"/>
        <v/>
      </c>
      <c r="Z203" s="195" t="str">
        <f t="shared" si="96"/>
        <v/>
      </c>
      <c r="AA203" s="195" t="str">
        <f t="shared" si="97"/>
        <v/>
      </c>
      <c r="AB203" s="194"/>
      <c r="AC203" s="196" t="str">
        <f t="shared" si="90"/>
        <v/>
      </c>
    </row>
    <row r="204" s="174" customFormat="1" ht="14.15" hidden="1" customHeight="1" spans="1:29">
      <c r="A204" s="199">
        <v>217</v>
      </c>
      <c r="B204" s="199" t="s">
        <v>1050</v>
      </c>
      <c r="C204" s="199" t="s">
        <v>1035</v>
      </c>
      <c r="D204" s="199" t="s">
        <v>1049</v>
      </c>
      <c r="E204" s="200">
        <v>28</v>
      </c>
      <c r="F204" s="200">
        <v>0</v>
      </c>
      <c r="G204" s="200">
        <v>28</v>
      </c>
      <c r="H204" s="200">
        <v>0</v>
      </c>
      <c r="I204" s="185" t="str">
        <f t="shared" si="82"/>
        <v>完工</v>
      </c>
      <c r="J204" s="186">
        <v>28</v>
      </c>
      <c r="K204" s="32">
        <f t="shared" si="83"/>
        <v>28</v>
      </c>
      <c r="L204" s="186"/>
      <c r="M204" s="187">
        <v>44682</v>
      </c>
      <c r="N204" s="188">
        <v>44713</v>
      </c>
      <c r="O204" s="181" t="s">
        <v>57</v>
      </c>
      <c r="P204" s="181" t="s">
        <v>33</v>
      </c>
      <c r="Q204" s="191"/>
      <c r="R204" s="192"/>
      <c r="S204" s="174">
        <f t="shared" si="91"/>
        <v>0</v>
      </c>
      <c r="T204" s="193" t="str">
        <f t="shared" si="92"/>
        <v/>
      </c>
      <c r="U204" s="190" t="str">
        <f t="shared" si="101"/>
        <v> </v>
      </c>
      <c r="V204" s="190" t="str">
        <f t="shared" ref="V204:V214" si="102">IF(I204="完工"," ",6)</f>
        <v> </v>
      </c>
      <c r="W204" s="175" t="str">
        <f t="shared" si="93"/>
        <v/>
      </c>
      <c r="X204" s="175" t="str">
        <f t="shared" si="94"/>
        <v/>
      </c>
      <c r="Y204" s="195" t="str">
        <f t="shared" si="95"/>
        <v/>
      </c>
      <c r="Z204" s="195" t="str">
        <f t="shared" si="96"/>
        <v/>
      </c>
      <c r="AA204" s="195" t="str">
        <f t="shared" si="97"/>
        <v/>
      </c>
      <c r="AB204" s="194"/>
      <c r="AC204" s="196" t="str">
        <f t="shared" si="90"/>
        <v/>
      </c>
    </row>
    <row r="205" s="174" customFormat="1" ht="14.15" hidden="1" customHeight="1" spans="1:29">
      <c r="A205" s="199">
        <v>218</v>
      </c>
      <c r="B205" s="199" t="s">
        <v>1051</v>
      </c>
      <c r="C205" s="199" t="s">
        <v>1035</v>
      </c>
      <c r="D205" s="199" t="s">
        <v>1049</v>
      </c>
      <c r="E205" s="200">
        <v>26</v>
      </c>
      <c r="F205" s="200">
        <v>0</v>
      </c>
      <c r="G205" s="200">
        <v>26</v>
      </c>
      <c r="H205" s="200">
        <v>0</v>
      </c>
      <c r="I205" s="185" t="str">
        <f t="shared" si="82"/>
        <v>完工</v>
      </c>
      <c r="J205" s="186">
        <v>26</v>
      </c>
      <c r="K205" s="32">
        <f t="shared" si="83"/>
        <v>26</v>
      </c>
      <c r="L205" s="186"/>
      <c r="M205" s="187">
        <v>44682</v>
      </c>
      <c r="N205" s="188">
        <v>44713</v>
      </c>
      <c r="O205" s="181" t="s">
        <v>57</v>
      </c>
      <c r="P205" s="181" t="s">
        <v>36</v>
      </c>
      <c r="Q205" s="191"/>
      <c r="R205" s="192"/>
      <c r="S205" s="174">
        <f t="shared" si="91"/>
        <v>0</v>
      </c>
      <c r="T205" s="193" t="str">
        <f t="shared" si="92"/>
        <v/>
      </c>
      <c r="U205" s="190" t="str">
        <f t="shared" si="101"/>
        <v> </v>
      </c>
      <c r="V205" s="190" t="str">
        <f t="shared" si="102"/>
        <v> </v>
      </c>
      <c r="W205" s="175" t="str">
        <f t="shared" si="93"/>
        <v/>
      </c>
      <c r="X205" s="175" t="str">
        <f t="shared" si="94"/>
        <v/>
      </c>
      <c r="Y205" s="195" t="str">
        <f t="shared" si="95"/>
        <v/>
      </c>
      <c r="Z205" s="195" t="str">
        <f t="shared" si="96"/>
        <v/>
      </c>
      <c r="AA205" s="195" t="str">
        <f t="shared" si="97"/>
        <v/>
      </c>
      <c r="AB205" s="194"/>
      <c r="AC205" s="196" t="str">
        <f t="shared" si="90"/>
        <v/>
      </c>
    </row>
    <row r="206" s="174" customFormat="1" ht="14.15" hidden="1" customHeight="1" spans="1:29">
      <c r="A206" s="199">
        <v>219</v>
      </c>
      <c r="B206" s="199" t="s">
        <v>1052</v>
      </c>
      <c r="C206" s="199" t="s">
        <v>1035</v>
      </c>
      <c r="D206" s="199" t="s">
        <v>1049</v>
      </c>
      <c r="E206" s="200">
        <v>25</v>
      </c>
      <c r="F206" s="200">
        <v>0</v>
      </c>
      <c r="G206" s="200">
        <v>25</v>
      </c>
      <c r="H206" s="200">
        <v>0</v>
      </c>
      <c r="I206" s="185" t="str">
        <f t="shared" si="82"/>
        <v>完工</v>
      </c>
      <c r="J206" s="186">
        <v>25</v>
      </c>
      <c r="K206" s="32">
        <f t="shared" si="83"/>
        <v>25</v>
      </c>
      <c r="L206" s="186" t="s">
        <v>1053</v>
      </c>
      <c r="M206" s="187">
        <v>44682</v>
      </c>
      <c r="N206" s="188">
        <v>44713</v>
      </c>
      <c r="O206" s="181" t="s">
        <v>57</v>
      </c>
      <c r="P206" s="181" t="s">
        <v>39</v>
      </c>
      <c r="Q206" s="191"/>
      <c r="R206" s="192"/>
      <c r="S206" s="174">
        <f t="shared" si="91"/>
        <v>0</v>
      </c>
      <c r="T206" s="193" t="str">
        <f t="shared" si="92"/>
        <v/>
      </c>
      <c r="U206" s="190" t="str">
        <f t="shared" si="101"/>
        <v> </v>
      </c>
      <c r="V206" s="190" t="str">
        <f t="shared" si="102"/>
        <v> </v>
      </c>
      <c r="W206" s="175" t="str">
        <f t="shared" si="93"/>
        <v/>
      </c>
      <c r="X206" s="175" t="str">
        <f t="shared" si="94"/>
        <v/>
      </c>
      <c r="Y206" s="195" t="str">
        <f t="shared" si="95"/>
        <v/>
      </c>
      <c r="Z206" s="195" t="str">
        <f t="shared" si="96"/>
        <v/>
      </c>
      <c r="AA206" s="195" t="str">
        <f t="shared" si="97"/>
        <v/>
      </c>
      <c r="AB206" s="194"/>
      <c r="AC206" s="196" t="str">
        <f t="shared" si="90"/>
        <v/>
      </c>
    </row>
    <row r="207" s="174" customFormat="1" ht="14.15" hidden="1" customHeight="1" spans="1:29">
      <c r="A207" s="199">
        <v>220</v>
      </c>
      <c r="B207" s="199" t="s">
        <v>1054</v>
      </c>
      <c r="C207" s="199" t="s">
        <v>1035</v>
      </c>
      <c r="D207" s="199" t="s">
        <v>1055</v>
      </c>
      <c r="E207" s="200">
        <v>8</v>
      </c>
      <c r="F207" s="200">
        <v>0</v>
      </c>
      <c r="G207" s="200">
        <v>8</v>
      </c>
      <c r="H207" s="200">
        <v>0</v>
      </c>
      <c r="I207" s="185" t="str">
        <f t="shared" si="82"/>
        <v>完工</v>
      </c>
      <c r="J207" s="186">
        <v>8</v>
      </c>
      <c r="K207" s="32">
        <f t="shared" si="83"/>
        <v>8</v>
      </c>
      <c r="L207" s="186"/>
      <c r="M207" s="187">
        <v>44682</v>
      </c>
      <c r="N207" s="188">
        <v>44713</v>
      </c>
      <c r="O207" s="181" t="s">
        <v>57</v>
      </c>
      <c r="P207" s="181" t="s">
        <v>132</v>
      </c>
      <c r="Q207" s="191"/>
      <c r="R207" s="192"/>
      <c r="S207" s="174">
        <f t="shared" si="91"/>
        <v>0</v>
      </c>
      <c r="T207" s="193" t="str">
        <f t="shared" si="92"/>
        <v/>
      </c>
      <c r="U207" s="190" t="str">
        <f t="shared" si="101"/>
        <v> </v>
      </c>
      <c r="V207" s="190" t="str">
        <f t="shared" si="102"/>
        <v> </v>
      </c>
      <c r="W207" s="175" t="str">
        <f t="shared" si="93"/>
        <v/>
      </c>
      <c r="X207" s="175" t="str">
        <f t="shared" si="94"/>
        <v/>
      </c>
      <c r="Y207" s="195" t="str">
        <f t="shared" si="95"/>
        <v/>
      </c>
      <c r="Z207" s="195" t="str">
        <f t="shared" si="96"/>
        <v/>
      </c>
      <c r="AA207" s="195" t="str">
        <f t="shared" si="97"/>
        <v/>
      </c>
      <c r="AB207" s="194"/>
      <c r="AC207" s="196" t="str">
        <f t="shared" si="90"/>
        <v/>
      </c>
    </row>
    <row r="208" s="174" customFormat="1" ht="14.15" hidden="1" customHeight="1" spans="1:29">
      <c r="A208" s="199">
        <v>221</v>
      </c>
      <c r="B208" s="199" t="s">
        <v>1056</v>
      </c>
      <c r="C208" s="199" t="s">
        <v>1035</v>
      </c>
      <c r="D208" s="199" t="s">
        <v>1057</v>
      </c>
      <c r="E208" s="200">
        <v>141</v>
      </c>
      <c r="F208" s="200">
        <v>0</v>
      </c>
      <c r="G208" s="200">
        <v>141</v>
      </c>
      <c r="H208" s="200">
        <v>0</v>
      </c>
      <c r="I208" s="185" t="str">
        <f t="shared" si="82"/>
        <v>完工</v>
      </c>
      <c r="J208" s="186">
        <v>141</v>
      </c>
      <c r="K208" s="32">
        <f t="shared" si="83"/>
        <v>141</v>
      </c>
      <c r="L208" s="186"/>
      <c r="M208" s="187">
        <v>44682</v>
      </c>
      <c r="N208" s="188">
        <v>44713</v>
      </c>
      <c r="O208" s="181" t="s">
        <v>57</v>
      </c>
      <c r="P208" s="181" t="s">
        <v>66</v>
      </c>
      <c r="Q208" s="191"/>
      <c r="R208" s="192"/>
      <c r="S208" s="174">
        <f t="shared" si="91"/>
        <v>0</v>
      </c>
      <c r="T208" s="193" t="str">
        <f t="shared" si="92"/>
        <v/>
      </c>
      <c r="U208" s="190" t="str">
        <f t="shared" si="101"/>
        <v> </v>
      </c>
      <c r="V208" s="190" t="str">
        <f t="shared" si="102"/>
        <v> </v>
      </c>
      <c r="W208" s="175" t="str">
        <f t="shared" si="93"/>
        <v/>
      </c>
      <c r="X208" s="175" t="str">
        <f t="shared" si="94"/>
        <v/>
      </c>
      <c r="Y208" s="195" t="str">
        <f t="shared" si="95"/>
        <v/>
      </c>
      <c r="Z208" s="195" t="str">
        <f t="shared" si="96"/>
        <v/>
      </c>
      <c r="AA208" s="195" t="str">
        <f t="shared" si="97"/>
        <v/>
      </c>
      <c r="AB208" s="194"/>
      <c r="AC208" s="196" t="str">
        <f t="shared" si="90"/>
        <v/>
      </c>
    </row>
    <row r="209" s="174" customFormat="1" ht="14.15" hidden="1" customHeight="1" spans="1:29">
      <c r="A209" s="199">
        <v>222</v>
      </c>
      <c r="B209" s="199" t="s">
        <v>1058</v>
      </c>
      <c r="C209" s="199" t="s">
        <v>1035</v>
      </c>
      <c r="D209" s="199" t="s">
        <v>1059</v>
      </c>
      <c r="E209" s="200">
        <v>275</v>
      </c>
      <c r="F209" s="200">
        <v>0</v>
      </c>
      <c r="G209" s="200">
        <v>275</v>
      </c>
      <c r="H209" s="200">
        <v>0</v>
      </c>
      <c r="I209" s="185" t="str">
        <f t="shared" si="82"/>
        <v>完工</v>
      </c>
      <c r="J209" s="186">
        <v>275</v>
      </c>
      <c r="K209" s="32">
        <f t="shared" si="83"/>
        <v>275</v>
      </c>
      <c r="L209" s="186"/>
      <c r="M209" s="187">
        <v>44682</v>
      </c>
      <c r="N209" s="188">
        <v>44713</v>
      </c>
      <c r="O209" s="181" t="s">
        <v>57</v>
      </c>
      <c r="P209" s="181" t="s">
        <v>42</v>
      </c>
      <c r="Q209" s="191"/>
      <c r="R209" s="192"/>
      <c r="S209" s="174">
        <f t="shared" si="91"/>
        <v>0</v>
      </c>
      <c r="T209" s="193" t="str">
        <f t="shared" si="92"/>
        <v/>
      </c>
      <c r="U209" s="190" t="str">
        <f t="shared" si="101"/>
        <v> </v>
      </c>
      <c r="V209" s="190" t="str">
        <f t="shared" si="102"/>
        <v> </v>
      </c>
      <c r="W209" s="175" t="str">
        <f t="shared" si="93"/>
        <v/>
      </c>
      <c r="X209" s="175" t="str">
        <f t="shared" si="94"/>
        <v/>
      </c>
      <c r="Y209" s="195" t="str">
        <f t="shared" si="95"/>
        <v/>
      </c>
      <c r="Z209" s="195" t="str">
        <f t="shared" si="96"/>
        <v/>
      </c>
      <c r="AA209" s="195" t="str">
        <f t="shared" si="97"/>
        <v/>
      </c>
      <c r="AB209" s="194"/>
      <c r="AC209" s="196" t="str">
        <f t="shared" si="90"/>
        <v/>
      </c>
    </row>
    <row r="210" s="174" customFormat="1" ht="14.15" hidden="1" customHeight="1" spans="1:29">
      <c r="A210" s="199">
        <v>223</v>
      </c>
      <c r="B210" s="199" t="s">
        <v>1060</v>
      </c>
      <c r="C210" s="199" t="s">
        <v>1035</v>
      </c>
      <c r="D210" s="199" t="s">
        <v>1061</v>
      </c>
      <c r="E210" s="200">
        <v>351</v>
      </c>
      <c r="F210" s="200">
        <v>0</v>
      </c>
      <c r="G210" s="200">
        <v>351</v>
      </c>
      <c r="H210" s="200">
        <v>0</v>
      </c>
      <c r="I210" s="185" t="str">
        <f t="shared" si="82"/>
        <v>完工</v>
      </c>
      <c r="J210" s="186">
        <v>351</v>
      </c>
      <c r="K210" s="32">
        <f t="shared" si="83"/>
        <v>351</v>
      </c>
      <c r="L210" s="186"/>
      <c r="M210" s="187">
        <v>44682</v>
      </c>
      <c r="N210" s="188">
        <v>44713</v>
      </c>
      <c r="O210" s="181" t="s">
        <v>57</v>
      </c>
      <c r="P210" s="181" t="s">
        <v>33</v>
      </c>
      <c r="Q210" s="191"/>
      <c r="R210" s="192"/>
      <c r="S210" s="174">
        <f t="shared" si="91"/>
        <v>0</v>
      </c>
      <c r="T210" s="193" t="str">
        <f t="shared" si="92"/>
        <v/>
      </c>
      <c r="U210" s="190" t="str">
        <f t="shared" si="101"/>
        <v> </v>
      </c>
      <c r="V210" s="190" t="str">
        <f t="shared" si="102"/>
        <v> </v>
      </c>
      <c r="W210" s="175" t="str">
        <f t="shared" si="93"/>
        <v/>
      </c>
      <c r="X210" s="175" t="str">
        <f t="shared" si="94"/>
        <v/>
      </c>
      <c r="Y210" s="195" t="str">
        <f t="shared" si="95"/>
        <v/>
      </c>
      <c r="Z210" s="195" t="str">
        <f t="shared" si="96"/>
        <v/>
      </c>
      <c r="AA210" s="195" t="str">
        <f t="shared" si="97"/>
        <v/>
      </c>
      <c r="AB210" s="194"/>
      <c r="AC210" s="196" t="str">
        <f t="shared" si="90"/>
        <v/>
      </c>
    </row>
    <row r="211" s="174" customFormat="1" ht="14.15" hidden="1" customHeight="1" spans="1:29">
      <c r="A211" s="199">
        <v>224</v>
      </c>
      <c r="B211" s="199" t="s">
        <v>1062</v>
      </c>
      <c r="C211" s="199" t="s">
        <v>1035</v>
      </c>
      <c r="D211" s="199" t="s">
        <v>1063</v>
      </c>
      <c r="E211" s="200">
        <v>232</v>
      </c>
      <c r="F211" s="200">
        <v>0</v>
      </c>
      <c r="G211" s="200">
        <v>232</v>
      </c>
      <c r="H211" s="200">
        <v>0</v>
      </c>
      <c r="I211" s="185" t="str">
        <f t="shared" si="82"/>
        <v>完工</v>
      </c>
      <c r="J211" s="186">
        <v>232</v>
      </c>
      <c r="K211" s="32">
        <f t="shared" si="83"/>
        <v>232</v>
      </c>
      <c r="L211" s="186"/>
      <c r="M211" s="187">
        <v>44682</v>
      </c>
      <c r="N211" s="188">
        <v>44713</v>
      </c>
      <c r="O211" s="181" t="s">
        <v>57</v>
      </c>
      <c r="P211" s="181" t="s">
        <v>36</v>
      </c>
      <c r="Q211" s="191"/>
      <c r="R211" s="192"/>
      <c r="S211" s="174">
        <f t="shared" si="91"/>
        <v>0</v>
      </c>
      <c r="T211" s="193" t="str">
        <f t="shared" si="92"/>
        <v/>
      </c>
      <c r="U211" s="190" t="str">
        <f t="shared" si="101"/>
        <v> </v>
      </c>
      <c r="V211" s="190" t="str">
        <f t="shared" si="102"/>
        <v> </v>
      </c>
      <c r="W211" s="175" t="str">
        <f t="shared" si="93"/>
        <v/>
      </c>
      <c r="X211" s="175" t="str">
        <f t="shared" si="94"/>
        <v/>
      </c>
      <c r="Y211" s="195" t="str">
        <f t="shared" si="95"/>
        <v/>
      </c>
      <c r="Z211" s="195" t="str">
        <f t="shared" si="96"/>
        <v/>
      </c>
      <c r="AA211" s="195" t="str">
        <f t="shared" si="97"/>
        <v/>
      </c>
      <c r="AB211" s="194"/>
      <c r="AC211" s="196" t="str">
        <f t="shared" si="90"/>
        <v/>
      </c>
    </row>
    <row r="212" s="174" customFormat="1" ht="14.15" hidden="1" customHeight="1" spans="1:29">
      <c r="A212" s="199">
        <v>225</v>
      </c>
      <c r="B212" s="199" t="s">
        <v>1064</v>
      </c>
      <c r="C212" s="199" t="s">
        <v>1035</v>
      </c>
      <c r="D212" s="199" t="s">
        <v>1065</v>
      </c>
      <c r="E212" s="200">
        <v>361</v>
      </c>
      <c r="F212" s="200">
        <v>0</v>
      </c>
      <c r="G212" s="200">
        <v>361</v>
      </c>
      <c r="H212" s="200">
        <v>0</v>
      </c>
      <c r="I212" s="185" t="str">
        <f t="shared" si="82"/>
        <v>完工</v>
      </c>
      <c r="J212" s="186">
        <v>361</v>
      </c>
      <c r="K212" s="32">
        <f t="shared" si="83"/>
        <v>361</v>
      </c>
      <c r="L212" s="186" t="s">
        <v>1047</v>
      </c>
      <c r="M212" s="187">
        <v>44682</v>
      </c>
      <c r="N212" s="188">
        <v>44713</v>
      </c>
      <c r="O212" s="181" t="s">
        <v>57</v>
      </c>
      <c r="P212" s="181" t="s">
        <v>39</v>
      </c>
      <c r="Q212" s="191"/>
      <c r="R212" s="192"/>
      <c r="S212" s="174">
        <f t="shared" si="91"/>
        <v>0</v>
      </c>
      <c r="T212" s="193" t="str">
        <f t="shared" si="92"/>
        <v/>
      </c>
      <c r="U212" s="190" t="str">
        <f t="shared" si="101"/>
        <v> </v>
      </c>
      <c r="V212" s="190" t="str">
        <f t="shared" si="102"/>
        <v> </v>
      </c>
      <c r="W212" s="175" t="str">
        <f t="shared" si="93"/>
        <v/>
      </c>
      <c r="X212" s="175" t="str">
        <f t="shared" si="94"/>
        <v/>
      </c>
      <c r="Y212" s="195" t="str">
        <f t="shared" si="95"/>
        <v/>
      </c>
      <c r="Z212" s="195" t="str">
        <f t="shared" si="96"/>
        <v/>
      </c>
      <c r="AA212" s="195" t="str">
        <f t="shared" si="97"/>
        <v/>
      </c>
      <c r="AB212" s="194"/>
      <c r="AC212" s="196" t="str">
        <f t="shared" si="90"/>
        <v/>
      </c>
    </row>
    <row r="213" s="174" customFormat="1" ht="14.15" hidden="1" customHeight="1" spans="1:29">
      <c r="A213" s="199">
        <v>226</v>
      </c>
      <c r="B213" s="199" t="s">
        <v>1066</v>
      </c>
      <c r="C213" s="199" t="s">
        <v>1035</v>
      </c>
      <c r="D213" s="199" t="s">
        <v>1067</v>
      </c>
      <c r="E213" s="200">
        <v>253</v>
      </c>
      <c r="F213" s="200">
        <v>0</v>
      </c>
      <c r="G213" s="200">
        <v>253</v>
      </c>
      <c r="H213" s="200">
        <v>0</v>
      </c>
      <c r="I213" s="185" t="str">
        <f t="shared" si="82"/>
        <v>完工</v>
      </c>
      <c r="J213" s="186">
        <v>253</v>
      </c>
      <c r="K213" s="32">
        <f t="shared" si="83"/>
        <v>253</v>
      </c>
      <c r="L213" s="186"/>
      <c r="M213" s="187">
        <v>44682</v>
      </c>
      <c r="N213" s="188">
        <v>44713</v>
      </c>
      <c r="O213" s="181" t="s">
        <v>57</v>
      </c>
      <c r="P213" s="181" t="s">
        <v>132</v>
      </c>
      <c r="Q213" s="191"/>
      <c r="R213" s="192"/>
      <c r="S213" s="174">
        <f t="shared" si="91"/>
        <v>0</v>
      </c>
      <c r="T213" s="193" t="str">
        <f t="shared" si="92"/>
        <v/>
      </c>
      <c r="U213" s="190" t="str">
        <f t="shared" si="101"/>
        <v> </v>
      </c>
      <c r="V213" s="190" t="str">
        <f t="shared" si="102"/>
        <v> </v>
      </c>
      <c r="W213" s="175" t="str">
        <f t="shared" si="93"/>
        <v/>
      </c>
      <c r="X213" s="175" t="str">
        <f t="shared" si="94"/>
        <v/>
      </c>
      <c r="Y213" s="195" t="str">
        <f t="shared" si="95"/>
        <v/>
      </c>
      <c r="Z213" s="195" t="str">
        <f t="shared" si="96"/>
        <v/>
      </c>
      <c r="AA213" s="195" t="str">
        <f t="shared" si="97"/>
        <v/>
      </c>
      <c r="AB213" s="194"/>
      <c r="AC213" s="196" t="str">
        <f t="shared" si="90"/>
        <v/>
      </c>
    </row>
    <row r="214" s="174" customFormat="1" ht="14.15" hidden="1" customHeight="1" spans="1:29">
      <c r="A214" s="199">
        <v>227</v>
      </c>
      <c r="B214" s="199" t="s">
        <v>1068</v>
      </c>
      <c r="C214" s="199" t="s">
        <v>1035</v>
      </c>
      <c r="D214" s="199" t="s">
        <v>1069</v>
      </c>
      <c r="E214" s="200">
        <v>5</v>
      </c>
      <c r="F214" s="200">
        <v>0</v>
      </c>
      <c r="G214" s="200">
        <v>5</v>
      </c>
      <c r="H214" s="200">
        <v>0</v>
      </c>
      <c r="I214" s="185" t="str">
        <f t="shared" si="82"/>
        <v>完工</v>
      </c>
      <c r="J214" s="186">
        <v>5</v>
      </c>
      <c r="K214" s="32">
        <f t="shared" si="83"/>
        <v>5</v>
      </c>
      <c r="L214" s="186" t="s">
        <v>587</v>
      </c>
      <c r="M214" s="187">
        <v>44682</v>
      </c>
      <c r="N214" s="188">
        <v>44713</v>
      </c>
      <c r="O214" s="181" t="s">
        <v>57</v>
      </c>
      <c r="P214" s="181" t="s">
        <v>39</v>
      </c>
      <c r="Q214" s="191"/>
      <c r="R214" s="192"/>
      <c r="S214" s="174">
        <f t="shared" si="91"/>
        <v>0</v>
      </c>
      <c r="T214" s="193" t="str">
        <f t="shared" si="92"/>
        <v/>
      </c>
      <c r="U214" s="190" t="str">
        <f t="shared" si="101"/>
        <v> </v>
      </c>
      <c r="V214" s="190" t="str">
        <f t="shared" si="102"/>
        <v> </v>
      </c>
      <c r="W214" s="175" t="str">
        <f t="shared" si="93"/>
        <v/>
      </c>
      <c r="X214" s="175" t="str">
        <f t="shared" si="94"/>
        <v/>
      </c>
      <c r="Y214" s="195" t="str">
        <f t="shared" si="95"/>
        <v/>
      </c>
      <c r="Z214" s="195" t="str">
        <f t="shared" si="96"/>
        <v/>
      </c>
      <c r="AA214" s="195" t="str">
        <f t="shared" si="97"/>
        <v/>
      </c>
      <c r="AB214" s="194"/>
      <c r="AC214" s="196" t="str">
        <f t="shared" si="90"/>
        <v/>
      </c>
    </row>
    <row r="215" s="174" customFormat="1" ht="14.15" hidden="1" customHeight="1" spans="1:29">
      <c r="A215" s="199">
        <v>229</v>
      </c>
      <c r="B215" s="199" t="s">
        <v>1070</v>
      </c>
      <c r="C215" s="199" t="s">
        <v>1035</v>
      </c>
      <c r="D215" s="199"/>
      <c r="E215" s="201">
        <v>6853</v>
      </c>
      <c r="F215" s="200"/>
      <c r="G215" s="200">
        <v>3500</v>
      </c>
      <c r="H215" s="200">
        <v>0</v>
      </c>
      <c r="I215" s="185" t="str">
        <f>IF(E215=0,"完工",IF(J215&gt;0,IF(J215=E215,"完工","在建"),"未开工"))</f>
        <v>在建</v>
      </c>
      <c r="J215" s="186">
        <v>2700</v>
      </c>
      <c r="K215" s="32">
        <f>IF(G215=0,"",J215-F215)</f>
        <v>2700</v>
      </c>
      <c r="L215" s="186"/>
      <c r="M215" s="187">
        <v>44682</v>
      </c>
      <c r="N215" s="188">
        <v>44866</v>
      </c>
      <c r="O215" s="181" t="s">
        <v>416</v>
      </c>
      <c r="P215" s="181" t="s">
        <v>66</v>
      </c>
      <c r="Q215" s="191"/>
      <c r="R215" s="192"/>
      <c r="S215" s="174">
        <f>E215-F215-G215-H215</f>
        <v>3353</v>
      </c>
      <c r="T215" s="193">
        <f>IF(I215="完工","",J215-F215-K215)</f>
        <v>0</v>
      </c>
      <c r="U215" s="190">
        <f>IF(I215="完工"," ",4)</f>
        <v>4</v>
      </c>
      <c r="V215" s="190">
        <f>IF(I215="完工"," ",1)</f>
        <v>1</v>
      </c>
      <c r="W215" s="175">
        <f>IF(I215="完工","",12-U215-V215)</f>
        <v>7</v>
      </c>
      <c r="X215" s="175">
        <f>IF(I215="完工","",$AB$2-U215)</f>
        <v>2.5</v>
      </c>
      <c r="Y215" s="195">
        <f>IF(I215="完工","",ROUND(X215/W215,3))</f>
        <v>0.357</v>
      </c>
      <c r="Z215" s="195">
        <f>IF(I215="完工","",ROUND(K215/G215,3))</f>
        <v>0.771</v>
      </c>
      <c r="AA215" s="195">
        <f>IF(I215="完工","",Z215-Y215)</f>
        <v>0.414</v>
      </c>
      <c r="AB215" s="194"/>
      <c r="AC215" s="196">
        <f>IF(E215=0,"",IF(ROUND(J215/E215,3)=1,"",ROUND(J215/E215,3)))</f>
        <v>0.394</v>
      </c>
    </row>
    <row r="216" s="174" customFormat="1" ht="14.15" hidden="1" customHeight="1" spans="1:29">
      <c r="A216" s="199">
        <v>230</v>
      </c>
      <c r="B216" s="199" t="s">
        <v>1071</v>
      </c>
      <c r="C216" s="199" t="s">
        <v>1035</v>
      </c>
      <c r="D216" s="199" t="s">
        <v>1072</v>
      </c>
      <c r="E216" s="200">
        <v>1488</v>
      </c>
      <c r="F216" s="200">
        <v>0</v>
      </c>
      <c r="G216" s="200">
        <v>1488</v>
      </c>
      <c r="H216" s="200">
        <v>0</v>
      </c>
      <c r="I216" s="185" t="str">
        <f>IF(E216=0,"完工",IF(J216&gt;0,IF(J216=E216,"完工","在建"),"未开工"))</f>
        <v>在建</v>
      </c>
      <c r="J216" s="186">
        <v>297</v>
      </c>
      <c r="K216" s="32">
        <f>IF(G216=0,"",J216-F216)</f>
        <v>297</v>
      </c>
      <c r="L216" s="186" t="s">
        <v>1073</v>
      </c>
      <c r="M216" s="187">
        <v>44713</v>
      </c>
      <c r="N216" s="188">
        <v>44896</v>
      </c>
      <c r="O216" s="181" t="s">
        <v>32</v>
      </c>
      <c r="P216" s="181" t="s">
        <v>132</v>
      </c>
      <c r="Q216" s="191"/>
      <c r="R216" s="192"/>
      <c r="S216" s="174">
        <f>E216-F216-G216-H216</f>
        <v>0</v>
      </c>
      <c r="T216" s="193">
        <f>IF(I216="完工","",J216-F216-K216)</f>
        <v>0</v>
      </c>
      <c r="U216" s="190">
        <f>IF(I216="完工"," ",5)</f>
        <v>5</v>
      </c>
      <c r="V216" s="190">
        <f>IF(I216="完工"," ",0)</f>
        <v>0</v>
      </c>
      <c r="W216" s="175">
        <f>IF(I216="完工","",12-U216-V216)</f>
        <v>7</v>
      </c>
      <c r="X216" s="175">
        <f>IF(I216="完工","",$AB$2-U216)</f>
        <v>1.5</v>
      </c>
      <c r="Y216" s="195">
        <f>IF(I216="完工","",ROUND(X216/W216,3))</f>
        <v>0.214</v>
      </c>
      <c r="Z216" s="195">
        <f>IF(I216="完工","",ROUND(K216/G216,3))</f>
        <v>0.2</v>
      </c>
      <c r="AA216" s="195">
        <f>IF(I216="完工","",Z216-Y216)</f>
        <v>-0.014</v>
      </c>
      <c r="AB216" s="194"/>
      <c r="AC216" s="196">
        <f>IF(E216=0,"",IF(ROUND(J216/E216,3)=1,"",ROUND(J216/E216,3)))</f>
        <v>0.2</v>
      </c>
    </row>
    <row r="217" s="174" customFormat="1" ht="14.15" hidden="1" customHeight="1" spans="1:29">
      <c r="A217" s="199">
        <v>231</v>
      </c>
      <c r="B217" s="199" t="s">
        <v>1074</v>
      </c>
      <c r="C217" s="199" t="s">
        <v>1035</v>
      </c>
      <c r="D217" s="199" t="s">
        <v>1075</v>
      </c>
      <c r="E217" s="200">
        <v>240</v>
      </c>
      <c r="F217" s="200">
        <v>0</v>
      </c>
      <c r="G217" s="200">
        <v>240</v>
      </c>
      <c r="H217" s="200">
        <v>0</v>
      </c>
      <c r="I217" s="185" t="str">
        <f>IF(E217=0,"完工",IF(J217&gt;0,IF(J217=E217,"完工","在建"),"未开工"))</f>
        <v>完工</v>
      </c>
      <c r="J217" s="186">
        <v>240</v>
      </c>
      <c r="K217" s="32">
        <f>IF(G217=0,"",J217-F217)</f>
        <v>240</v>
      </c>
      <c r="L217" s="186" t="s">
        <v>1076</v>
      </c>
      <c r="M217" s="187">
        <v>44562</v>
      </c>
      <c r="N217" s="188">
        <v>44743</v>
      </c>
      <c r="O217" s="181" t="s">
        <v>464</v>
      </c>
      <c r="P217" s="181" t="s">
        <v>140</v>
      </c>
      <c r="Q217" s="191"/>
      <c r="R217" s="192"/>
      <c r="S217" s="174">
        <f>E217-F217-G217-H217</f>
        <v>0</v>
      </c>
      <c r="T217" s="193" t="str">
        <f>IF(I217="完工","",J217-F217-K217)</f>
        <v/>
      </c>
      <c r="U217" s="190" t="str">
        <f>IF(I217="完工"," ",0)</f>
        <v> </v>
      </c>
      <c r="V217" s="190" t="str">
        <f>IF(I217="完工"," ",5)</f>
        <v> </v>
      </c>
      <c r="W217" s="175" t="str">
        <f>IF(I217="完工","",12-U217-V217)</f>
        <v/>
      </c>
      <c r="X217" s="175" t="str">
        <f>IF(I217="完工","",$AB$2-U217)</f>
        <v/>
      </c>
      <c r="Y217" s="195" t="str">
        <f>IF(I217="完工","",ROUND(X217/W217,3))</f>
        <v/>
      </c>
      <c r="Z217" s="195" t="str">
        <f>IF(I217="完工","",ROUND(K217/G217,3))</f>
        <v/>
      </c>
      <c r="AA217" s="195" t="str">
        <f>IF(I217="完工","",Z217-Y217)</f>
        <v/>
      </c>
      <c r="AB217" s="194"/>
      <c r="AC217" s="196" t="str">
        <f>IF(E217=0,"",IF(ROUND(J217/E217,3)=1,"",ROUND(J217/E217,3)))</f>
        <v/>
      </c>
    </row>
    <row r="218" s="174" customFormat="1" ht="14.15" hidden="1" customHeight="1" spans="1:29">
      <c r="A218" s="199">
        <v>232</v>
      </c>
      <c r="B218" s="199" t="s">
        <v>1077</v>
      </c>
      <c r="C218" s="199" t="s">
        <v>1035</v>
      </c>
      <c r="D218" s="199"/>
      <c r="E218" s="200">
        <v>2023</v>
      </c>
      <c r="F218" s="200"/>
      <c r="G218" s="200">
        <v>1800</v>
      </c>
      <c r="H218" s="200">
        <v>0</v>
      </c>
      <c r="I218" s="185" t="str">
        <f>IF(E218=0,"完工",IF(J218&gt;0,IF(J218=E218,"完工","在建"),"未开工"))</f>
        <v>在建</v>
      </c>
      <c r="J218" s="186">
        <v>700</v>
      </c>
      <c r="K218" s="32">
        <f>IF(G218=0,"",J218-F218)</f>
        <v>700</v>
      </c>
      <c r="L218" s="186"/>
      <c r="M218" s="187">
        <v>44562</v>
      </c>
      <c r="N218" s="188">
        <v>45261</v>
      </c>
      <c r="O218" s="181" t="s">
        <v>491</v>
      </c>
      <c r="P218" s="181" t="s">
        <v>132</v>
      </c>
      <c r="Q218" s="191"/>
      <c r="R218" s="192"/>
      <c r="S218" s="174">
        <f>E218-F218-G218-H218</f>
        <v>223</v>
      </c>
      <c r="T218" s="193">
        <f>IF(I218="完工","",J218-F218-K218)</f>
        <v>0</v>
      </c>
      <c r="U218" s="190">
        <f t="shared" ref="U218:U220" si="103">IF(I218="完工"," ",0)</f>
        <v>0</v>
      </c>
      <c r="V218" s="190">
        <f t="shared" ref="V218:V223" si="104">IF(I218="完工"," ",0)</f>
        <v>0</v>
      </c>
      <c r="W218" s="175">
        <f>IF(I218="完工","",12-U218-V218)</f>
        <v>12</v>
      </c>
      <c r="X218" s="175">
        <f>IF(I218="完工","",$AB$2-U218)</f>
        <v>6.5</v>
      </c>
      <c r="Y218" s="195">
        <f>IF(I218="完工","",ROUND(X218/W218,3))</f>
        <v>0.542</v>
      </c>
      <c r="Z218" s="195">
        <f>IF(I218="完工","",ROUND(K218/G218,3))</f>
        <v>0.389</v>
      </c>
      <c r="AA218" s="195">
        <f>IF(I218="完工","",Z218-Y218)</f>
        <v>-0.153</v>
      </c>
      <c r="AB218" s="194"/>
      <c r="AC218" s="196">
        <f>IF(E218=0,"",IF(ROUND(J218/E218,3)=1,"",ROUND(J218/E218,3)))</f>
        <v>0.346</v>
      </c>
    </row>
    <row r="219" s="174" customFormat="1" ht="14.15" hidden="1" customHeight="1" spans="1:29">
      <c r="A219" s="199">
        <v>233</v>
      </c>
      <c r="B219" s="199" t="s">
        <v>1078</v>
      </c>
      <c r="C219" s="199" t="s">
        <v>1035</v>
      </c>
      <c r="D219" s="199"/>
      <c r="E219" s="200">
        <v>66410.49</v>
      </c>
      <c r="F219" s="200">
        <v>0</v>
      </c>
      <c r="G219" s="200">
        <v>39184</v>
      </c>
      <c r="H219" s="200">
        <v>0</v>
      </c>
      <c r="I219" s="185" t="str">
        <f>IF(E219=0,"完工",IF(J219&gt;0,IF(J219=E219,"完工","在建"),"未开工"))</f>
        <v>在建</v>
      </c>
      <c r="J219" s="186">
        <v>34854.3</v>
      </c>
      <c r="K219" s="32">
        <f>IF(G219=0,"",J219-F219)</f>
        <v>34854.3</v>
      </c>
      <c r="L219" s="186"/>
      <c r="M219" s="187">
        <v>44562</v>
      </c>
      <c r="N219" s="188">
        <v>45261</v>
      </c>
      <c r="O219" s="181" t="s">
        <v>491</v>
      </c>
      <c r="P219" s="181" t="s">
        <v>66</v>
      </c>
      <c r="Q219" s="191"/>
      <c r="R219" s="192"/>
      <c r="S219" s="174">
        <f>E219-F219-G219-H219</f>
        <v>27226.49</v>
      </c>
      <c r="T219" s="193">
        <f>IF(I219="完工","",J219-F219-K219)</f>
        <v>0</v>
      </c>
      <c r="U219" s="190">
        <f t="shared" si="103"/>
        <v>0</v>
      </c>
      <c r="V219" s="190">
        <f t="shared" si="104"/>
        <v>0</v>
      </c>
      <c r="W219" s="175">
        <f>IF(I219="完工","",12-U219-V219)</f>
        <v>12</v>
      </c>
      <c r="X219" s="175">
        <f>IF(I219="完工","",$AB$2-U219)</f>
        <v>6.5</v>
      </c>
      <c r="Y219" s="195">
        <f>IF(I219="完工","",ROUND(X219/W219,3))</f>
        <v>0.542</v>
      </c>
      <c r="Z219" s="195">
        <f>IF(I219="完工","",ROUND(K219/G219,3))</f>
        <v>0.89</v>
      </c>
      <c r="AA219" s="195">
        <f>IF(I219="完工","",Z219-Y219)</f>
        <v>0.348</v>
      </c>
      <c r="AB219" s="194"/>
      <c r="AC219" s="196">
        <f>IF(E219=0,"",IF(ROUND(J219/E219,3)=1,"",ROUND(J219/E219,3)))</f>
        <v>0.525</v>
      </c>
    </row>
    <row r="220" s="174" customFormat="1" ht="14.15" hidden="1" customHeight="1" spans="1:29">
      <c r="A220" s="199">
        <v>234</v>
      </c>
      <c r="B220" s="199" t="s">
        <v>1079</v>
      </c>
      <c r="C220" s="199" t="s">
        <v>1035</v>
      </c>
      <c r="D220" s="199" t="s">
        <v>1080</v>
      </c>
      <c r="E220" s="201">
        <v>1250</v>
      </c>
      <c r="F220" s="200">
        <v>0</v>
      </c>
      <c r="G220" s="200">
        <v>700</v>
      </c>
      <c r="H220" s="200">
        <v>0</v>
      </c>
      <c r="I220" s="185" t="str">
        <f>IF(E220=0,"完工",IF(J220&gt;0,IF(J220=E220,"完工","在建"),"未开工"))</f>
        <v>在建</v>
      </c>
      <c r="J220" s="186">
        <v>700</v>
      </c>
      <c r="K220" s="32">
        <f>IF(G220=0,"",J220-F220)</f>
        <v>700</v>
      </c>
      <c r="L220" s="186"/>
      <c r="M220" s="187">
        <v>44562</v>
      </c>
      <c r="N220" s="188">
        <v>45261</v>
      </c>
      <c r="O220" s="181" t="s">
        <v>423</v>
      </c>
      <c r="P220" s="181" t="s">
        <v>132</v>
      </c>
      <c r="Q220" s="191"/>
      <c r="R220" s="192"/>
      <c r="S220" s="174">
        <f>E220-F220-G220-H220</f>
        <v>550</v>
      </c>
      <c r="T220" s="193">
        <f>IF(I220="完工","",J220-F220-K220)</f>
        <v>0</v>
      </c>
      <c r="U220" s="190">
        <f t="shared" si="103"/>
        <v>0</v>
      </c>
      <c r="V220" s="190">
        <f t="shared" si="104"/>
        <v>0</v>
      </c>
      <c r="W220" s="175">
        <f>IF(I220="完工","",12-U220-V220)</f>
        <v>12</v>
      </c>
      <c r="X220" s="175">
        <f>IF(I220="完工","",$AB$2-U220)</f>
        <v>6.5</v>
      </c>
      <c r="Y220" s="195">
        <f>IF(I220="完工","",ROUND(X220/W220,3))</f>
        <v>0.542</v>
      </c>
      <c r="Z220" s="195">
        <f>IF(I220="完工","",ROUND(K220/G220,3))</f>
        <v>1</v>
      </c>
      <c r="AA220" s="195">
        <f>IF(I220="完工","",Z220-Y220)</f>
        <v>0.458</v>
      </c>
      <c r="AB220" s="194"/>
      <c r="AC220" s="196">
        <f>IF(E220=0,"",IF(ROUND(J220/E220,3)=1,"",ROUND(J220/E220,3)))</f>
        <v>0.56</v>
      </c>
    </row>
    <row r="221" s="174" customFormat="1" ht="14.15" hidden="1" customHeight="1" spans="1:29">
      <c r="A221" s="199">
        <v>235</v>
      </c>
      <c r="B221" s="199" t="s">
        <v>1081</v>
      </c>
      <c r="C221" s="199" t="s">
        <v>1035</v>
      </c>
      <c r="D221" s="199" t="s">
        <v>1082</v>
      </c>
      <c r="E221" s="201">
        <v>1250</v>
      </c>
      <c r="F221" s="200">
        <v>0</v>
      </c>
      <c r="G221" s="200">
        <v>300</v>
      </c>
      <c r="H221" s="200">
        <v>0</v>
      </c>
      <c r="I221" s="185" t="str">
        <f>IF(E221=0,"完工",IF(J221&gt;0,IF(J221=E221,"完工","在建"),"未开工"))</f>
        <v>在建</v>
      </c>
      <c r="J221" s="186">
        <v>30</v>
      </c>
      <c r="K221" s="32">
        <f>IF(G221=0,"",J221-F221)</f>
        <v>30</v>
      </c>
      <c r="L221" s="186"/>
      <c r="M221" s="187">
        <v>44835</v>
      </c>
      <c r="N221" s="188">
        <v>45261</v>
      </c>
      <c r="O221" s="181" t="s">
        <v>423</v>
      </c>
      <c r="P221" s="181" t="s">
        <v>132</v>
      </c>
      <c r="Q221" s="191"/>
      <c r="R221" s="192"/>
      <c r="S221" s="174">
        <f>E221-F221-G221-H221</f>
        <v>950</v>
      </c>
      <c r="T221" s="193">
        <f>IF(I221="完工","",J221-F221-K221)</f>
        <v>0</v>
      </c>
      <c r="U221" s="190">
        <f>IF(I221="完工"," ",9)</f>
        <v>9</v>
      </c>
      <c r="V221" s="190">
        <f t="shared" si="104"/>
        <v>0</v>
      </c>
      <c r="W221" s="175">
        <f>IF(I221="完工","",12-U221-V221)</f>
        <v>3</v>
      </c>
      <c r="X221" s="175">
        <f>IF(I221="完工","",$AB$2-U221)</f>
        <v>-2.5</v>
      </c>
      <c r="Y221" s="195">
        <f>IF(I221="完工","",ROUND(X221/W221,3))</f>
        <v>-0.833</v>
      </c>
      <c r="Z221" s="195">
        <f>IF(I221="完工","",ROUND(K221/G221,3))</f>
        <v>0.1</v>
      </c>
      <c r="AA221" s="195">
        <f>IF(I221="完工","",Z221-Y221)</f>
        <v>0.933</v>
      </c>
      <c r="AB221" s="194"/>
      <c r="AC221" s="196">
        <f>IF(E221=0,"",IF(ROUND(J221/E221,3)=1,"",ROUND(J221/E221,3)))</f>
        <v>0.024</v>
      </c>
    </row>
    <row r="222" s="174" customFormat="1" ht="14.15" hidden="1" customHeight="1" spans="1:29">
      <c r="A222" s="199">
        <v>236</v>
      </c>
      <c r="B222" s="199" t="s">
        <v>1083</v>
      </c>
      <c r="C222" s="199" t="s">
        <v>1035</v>
      </c>
      <c r="D222" s="199" t="s">
        <v>1084</v>
      </c>
      <c r="E222" s="200">
        <v>1009.67</v>
      </c>
      <c r="F222" s="200">
        <v>0</v>
      </c>
      <c r="G222" s="200">
        <v>1009.67</v>
      </c>
      <c r="H222" s="200">
        <v>0</v>
      </c>
      <c r="I222" s="185" t="str">
        <f>IF(E222=0,"完工",IF(J222&gt;0,IF(J222=E222,"完工","在建"),"未开工"))</f>
        <v>在建</v>
      </c>
      <c r="J222" s="186">
        <v>500</v>
      </c>
      <c r="K222" s="32">
        <f>IF(G222=0,"",J222-F222)</f>
        <v>500</v>
      </c>
      <c r="L222" s="186"/>
      <c r="M222" s="187">
        <v>44712</v>
      </c>
      <c r="N222" s="188">
        <v>44926</v>
      </c>
      <c r="O222" s="181" t="s">
        <v>32</v>
      </c>
      <c r="P222" s="181" t="s">
        <v>1085</v>
      </c>
      <c r="Q222" s="191"/>
      <c r="R222" s="192"/>
      <c r="S222" s="174">
        <f>E222-F222-G222-H222</f>
        <v>0</v>
      </c>
      <c r="T222" s="193">
        <f>IF(I222="完工","",J222-F222-K222)</f>
        <v>0</v>
      </c>
      <c r="U222" s="190">
        <f t="shared" ref="U222:U225" si="105">IF(I222="完工"," ",4)</f>
        <v>4</v>
      </c>
      <c r="V222" s="190">
        <f t="shared" si="104"/>
        <v>0</v>
      </c>
      <c r="W222" s="175">
        <f>IF(I222="完工","",12-U222-V222)</f>
        <v>8</v>
      </c>
      <c r="X222" s="175">
        <f>IF(I222="完工","",$AB$2-U222)</f>
        <v>2.5</v>
      </c>
      <c r="Y222" s="195">
        <f>IF(I222="完工","",ROUND(X222/W222,3))</f>
        <v>0.313</v>
      </c>
      <c r="Z222" s="195">
        <f>IF(I222="完工","",ROUND(K222/G222,3))</f>
        <v>0.495</v>
      </c>
      <c r="AA222" s="195">
        <f>IF(I222="完工","",Z222-Y222)</f>
        <v>0.182</v>
      </c>
      <c r="AB222" s="194"/>
      <c r="AC222" s="196">
        <f>IF(E222=0,"",IF(ROUND(J222/E222,3)=1,"",ROUND(J222/E222,3)))</f>
        <v>0.495</v>
      </c>
    </row>
    <row r="223" s="174" customFormat="1" ht="14.15" hidden="1" customHeight="1" spans="1:29">
      <c r="A223" s="199">
        <v>237</v>
      </c>
      <c r="B223" s="199" t="s">
        <v>1086</v>
      </c>
      <c r="C223" s="199" t="s">
        <v>1035</v>
      </c>
      <c r="D223" s="199" t="s">
        <v>1087</v>
      </c>
      <c r="E223" s="200">
        <v>643</v>
      </c>
      <c r="F223" s="200">
        <v>0</v>
      </c>
      <c r="G223" s="200">
        <v>643</v>
      </c>
      <c r="H223" s="200">
        <v>0</v>
      </c>
      <c r="I223" s="185" t="str">
        <f>IF(E223=0,"完工",IF(J223&gt;0,IF(J223=E223,"完工","在建"),"未开工"))</f>
        <v>在建</v>
      </c>
      <c r="J223" s="186">
        <v>180</v>
      </c>
      <c r="K223" s="32">
        <f>IF(G223=0,"",J223-F223)</f>
        <v>180</v>
      </c>
      <c r="L223" s="186" t="s">
        <v>1088</v>
      </c>
      <c r="M223" s="187">
        <v>44712</v>
      </c>
      <c r="N223" s="188">
        <v>44926</v>
      </c>
      <c r="O223" s="181" t="s">
        <v>32</v>
      </c>
      <c r="P223" s="181" t="s">
        <v>140</v>
      </c>
      <c r="Q223" s="191"/>
      <c r="R223" s="192"/>
      <c r="S223" s="174">
        <f>E223-F223-G223-H223</f>
        <v>0</v>
      </c>
      <c r="T223" s="193">
        <f>IF(I223="完工","",J223-F223-K223)</f>
        <v>0</v>
      </c>
      <c r="U223" s="190">
        <f t="shared" si="105"/>
        <v>4</v>
      </c>
      <c r="V223" s="190">
        <f t="shared" si="104"/>
        <v>0</v>
      </c>
      <c r="W223" s="175">
        <f>IF(I223="完工","",12-U223-V223)</f>
        <v>8</v>
      </c>
      <c r="X223" s="175">
        <f>IF(I223="完工","",$AB$2-U223)</f>
        <v>2.5</v>
      </c>
      <c r="Y223" s="195">
        <f>IF(I223="完工","",ROUND(X223/W223,3))</f>
        <v>0.313</v>
      </c>
      <c r="Z223" s="195">
        <f>IF(I223="完工","",ROUND(K223/G223,3))</f>
        <v>0.28</v>
      </c>
      <c r="AA223" s="195">
        <f>IF(I223="完工","",Z223-Y223)</f>
        <v>-0.033</v>
      </c>
      <c r="AB223" s="194"/>
      <c r="AC223" s="196">
        <f>IF(E223=0,"",IF(ROUND(J223/E223,3)=1,"",ROUND(J223/E223,3)))</f>
        <v>0.28</v>
      </c>
    </row>
    <row r="224" s="174" customFormat="1" ht="14.15" hidden="1" customHeight="1" spans="1:29">
      <c r="A224" s="199">
        <v>238</v>
      </c>
      <c r="B224" s="199" t="s">
        <v>1089</v>
      </c>
      <c r="C224" s="199" t="s">
        <v>1035</v>
      </c>
      <c r="D224" s="199" t="s">
        <v>1090</v>
      </c>
      <c r="E224" s="200">
        <v>4000</v>
      </c>
      <c r="F224" s="200">
        <v>0</v>
      </c>
      <c r="G224" s="200">
        <v>2000</v>
      </c>
      <c r="H224" s="200">
        <v>0</v>
      </c>
      <c r="I224" s="185" t="str">
        <f>IF(E224=0,"完工",IF(J224&gt;0,IF(J224=E224,"完工","在建"),"未开工"))</f>
        <v>在建</v>
      </c>
      <c r="J224" s="186">
        <v>21</v>
      </c>
      <c r="K224" s="32">
        <f>IF(G224=0,"",J224-F224)</f>
        <v>21</v>
      </c>
      <c r="L224" s="186" t="s">
        <v>1091</v>
      </c>
      <c r="M224" s="187">
        <v>44682</v>
      </c>
      <c r="N224" s="188">
        <v>44866</v>
      </c>
      <c r="O224" s="181" t="s">
        <v>560</v>
      </c>
      <c r="P224" s="181" t="s">
        <v>45</v>
      </c>
      <c r="Q224" s="191"/>
      <c r="R224" s="192"/>
      <c r="S224" s="174">
        <f>E224-F224-G224-H224</f>
        <v>2000</v>
      </c>
      <c r="T224" s="193">
        <f>IF(I224="完工","",J224-F224-K224)</f>
        <v>0</v>
      </c>
      <c r="U224" s="190">
        <f t="shared" si="105"/>
        <v>4</v>
      </c>
      <c r="V224" s="190">
        <f>IF(I224="完工"," ",1)</f>
        <v>1</v>
      </c>
      <c r="W224" s="175">
        <f>IF(I224="完工","",12-U224-V224)</f>
        <v>7</v>
      </c>
      <c r="X224" s="175">
        <f>IF(I224="完工","",$AB$2-U224)</f>
        <v>2.5</v>
      </c>
      <c r="Y224" s="195">
        <f>IF(I224="完工","",ROUND(X224/W224,3))</f>
        <v>0.357</v>
      </c>
      <c r="Z224" s="195">
        <f>IF(I224="完工","",ROUND(K224/G224,3))</f>
        <v>0.011</v>
      </c>
      <c r="AA224" s="195">
        <f>IF(I224="完工","",Z224-Y224)</f>
        <v>-0.346</v>
      </c>
      <c r="AB224" s="194"/>
      <c r="AC224" s="196">
        <f>IF(E224=0,"",IF(ROUND(J224/E224,3)=1,"",ROUND(J224/E224,3)))</f>
        <v>0.005</v>
      </c>
    </row>
    <row r="225" s="174" customFormat="1" ht="14.15" hidden="1" customHeight="1" spans="1:29">
      <c r="A225" s="199">
        <v>239</v>
      </c>
      <c r="B225" s="199" t="s">
        <v>1092</v>
      </c>
      <c r="C225" s="199" t="s">
        <v>1035</v>
      </c>
      <c r="D225" s="199"/>
      <c r="E225" s="200">
        <v>8204</v>
      </c>
      <c r="F225" s="200"/>
      <c r="G225" s="200">
        <v>3500</v>
      </c>
      <c r="H225" s="200">
        <v>0</v>
      </c>
      <c r="I225" s="185" t="str">
        <f>IF(E225=0,"完工",IF(J225&gt;0,IF(J225=E225,"完工","在建"),"未开工"))</f>
        <v>在建</v>
      </c>
      <c r="J225" s="186">
        <v>5994</v>
      </c>
      <c r="K225" s="32">
        <f>IF(G225=0,"",J225-F225)</f>
        <v>5994</v>
      </c>
      <c r="L225" s="186"/>
      <c r="M225" s="187">
        <v>44712</v>
      </c>
      <c r="N225" s="188">
        <v>45291</v>
      </c>
      <c r="O225" s="181" t="s">
        <v>513</v>
      </c>
      <c r="P225" s="181" t="s">
        <v>132</v>
      </c>
      <c r="Q225" s="191"/>
      <c r="R225" s="192"/>
      <c r="S225" s="174">
        <f>E225-F225-G225-H225</f>
        <v>4704</v>
      </c>
      <c r="T225" s="193">
        <f>IF(I225="完工","",J225-F225-K225)</f>
        <v>0</v>
      </c>
      <c r="U225" s="190">
        <f t="shared" si="105"/>
        <v>4</v>
      </c>
      <c r="V225" s="190">
        <f>IF(I225="完工"," ",0)</f>
        <v>0</v>
      </c>
      <c r="W225" s="175">
        <f>IF(I225="完工","",12-U225-V225)</f>
        <v>8</v>
      </c>
      <c r="X225" s="175">
        <f>IF(I225="完工","",$AB$2-U225)</f>
        <v>2.5</v>
      </c>
      <c r="Y225" s="195">
        <f>IF(I225="完工","",ROUND(X225/W225,3))</f>
        <v>0.313</v>
      </c>
      <c r="Z225" s="195">
        <f>IF(I225="完工","",ROUND(K225/G225,3))</f>
        <v>1.713</v>
      </c>
      <c r="AA225" s="195">
        <f>IF(I225="完工","",Z225-Y225)</f>
        <v>1.4</v>
      </c>
      <c r="AB225" s="194"/>
      <c r="AC225" s="196">
        <f>IF(E225=0,"",IF(ROUND(J225/E225,3)=1,"",ROUND(J225/E225,3)))</f>
        <v>0.731</v>
      </c>
    </row>
    <row r="226" hidden="1" spans="1:29">
      <c r="A226" s="175">
        <v>240</v>
      </c>
      <c r="B226" s="175" t="s">
        <v>1093</v>
      </c>
      <c r="C226" s="199" t="s">
        <v>1035</v>
      </c>
      <c r="D226" s="175" t="s">
        <v>1094</v>
      </c>
      <c r="E226" s="176">
        <v>1941.8</v>
      </c>
      <c r="G226" s="176">
        <v>1941.8</v>
      </c>
      <c r="I226" s="185" t="s">
        <v>622</v>
      </c>
      <c r="J226" s="176">
        <v>1690</v>
      </c>
      <c r="K226" s="32">
        <v>1420</v>
      </c>
      <c r="L226" s="202" t="s">
        <v>622</v>
      </c>
      <c r="M226" s="188">
        <v>44713</v>
      </c>
      <c r="N226" s="188">
        <v>44805</v>
      </c>
      <c r="O226" s="175" t="s">
        <v>131</v>
      </c>
      <c r="P226" s="175" t="s">
        <v>39</v>
      </c>
      <c r="Q226" s="177"/>
      <c r="R226" s="174"/>
      <c r="S226" s="193"/>
      <c r="T226" s="190"/>
      <c r="U226" s="190"/>
      <c r="X226" s="195"/>
      <c r="Y226" s="195"/>
      <c r="Z226" s="195"/>
      <c r="AA226" s="177"/>
      <c r="AB226"/>
      <c r="AC226" s="196">
        <f>IF(E226=0,"",IF(ROUND(J226/E226,3)=1,"",ROUND(J226/E226,3)))</f>
        <v>0.87</v>
      </c>
    </row>
  </sheetData>
  <sheetProtection formatColumns="0" formatRows="0" sort="0" autoFilter="0"/>
  <autoFilter ref="A1:AC226">
    <filterColumn colId="15">
      <customFilters>
        <customFilter operator="equal" val="龙亭区"/>
      </customFilters>
    </filterColumn>
    <extLst/>
  </autoFilter>
  <dataValidations count="1">
    <dataValidation type="whole" operator="lessThanOrEqual" allowBlank="1" showInputMessage="1" sqref="F125:F126" errorStyle="information">
      <formula1>10000</formula1>
    </dataValidation>
  </dataValidations>
  <pageMargins left="0.7" right="0.7" top="0.75" bottom="0.75" header="0.3" footer="0.3"/>
  <pageSetup paperSize="9" scale="4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K39"/>
  <sheetViews>
    <sheetView zoomScale="90" zoomScaleNormal="90" topLeftCell="L1" workbookViewId="0">
      <pane ySplit="6" topLeftCell="A17" activePane="bottomLeft" state="frozen"/>
      <selection/>
      <selection pane="bottomLeft" activeCell="S23" sqref="S23"/>
    </sheetView>
  </sheetViews>
  <sheetFormatPr defaultColWidth="9" defaultRowHeight="13.5"/>
  <cols>
    <col min="3" max="3" width="10.0916666666667" customWidth="1"/>
    <col min="6" max="6" width="9.725" customWidth="1"/>
    <col min="13" max="14" width="11.9083333333333" customWidth="1"/>
    <col min="20" max="20" width="9.725" customWidth="1"/>
    <col min="25" max="25" width="10.45" customWidth="1"/>
    <col min="32" max="33" width="11.9083333333333" customWidth="1"/>
  </cols>
  <sheetData>
    <row r="1" ht="14.15" customHeight="1" spans="1:21">
      <c r="A1" s="2" t="s">
        <v>1226</v>
      </c>
      <c r="B1" s="3"/>
      <c r="C1" s="3"/>
      <c r="D1" s="3"/>
      <c r="E1" s="3"/>
      <c r="F1" s="3"/>
      <c r="G1" s="4"/>
      <c r="H1" s="5" t="s">
        <v>1227</v>
      </c>
      <c r="I1" s="5"/>
      <c r="J1" s="5"/>
      <c r="K1" s="5"/>
      <c r="L1" s="5"/>
      <c r="M1" s="5"/>
      <c r="N1" s="5"/>
      <c r="O1" s="16" t="s">
        <v>1227</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56</v>
      </c>
      <c r="C3" s="10">
        <f t="shared" ref="C3:F4" si="0">J3+Q3</f>
        <v>326720.88</v>
      </c>
      <c r="D3" s="10">
        <f t="shared" si="0"/>
        <v>56</v>
      </c>
      <c r="E3" s="10">
        <f t="shared" si="0"/>
        <v>38</v>
      </c>
      <c r="F3" s="10">
        <f t="shared" si="0"/>
        <v>244545.42</v>
      </c>
      <c r="G3" s="11">
        <f>IF(C3=0,"-",ROUND(F3/C3,3))</f>
        <v>0.748</v>
      </c>
      <c r="H3" s="8" t="s">
        <v>1146</v>
      </c>
      <c r="I3" s="17">
        <f>COUNT(E7:E122)</f>
        <v>20</v>
      </c>
      <c r="J3" s="21">
        <f>SUM(E7:E122)</f>
        <v>8740.84</v>
      </c>
      <c r="K3" s="21">
        <f>COUNTIF(I7:I122,"在建")+COUNTIF(I7:I122,"完工")</f>
        <v>20</v>
      </c>
      <c r="L3" s="21">
        <f>COUNTIF(I7:I122,"完工")</f>
        <v>20</v>
      </c>
      <c r="M3" s="17">
        <f>SUM(J7:J122)</f>
        <v>8740.84</v>
      </c>
      <c r="N3" s="22">
        <f>IF(J3=0,"-",ROUND(M3/J3,3))</f>
        <v>1</v>
      </c>
      <c r="O3" s="19" t="s">
        <v>1146</v>
      </c>
      <c r="P3" s="20">
        <f>COUNT(X7:X122)+3</f>
        <v>36</v>
      </c>
      <c r="Q3" s="24">
        <f>SUM(X7:X122)</f>
        <v>317980.04</v>
      </c>
      <c r="R3" s="24">
        <f>COUNTIF(AB7:AB122,"在建")+COUNTIF(AB7:AB122,"完工")+IF(AB23&lt;&gt;"未开工",1,0)+IF(AB27&lt;&gt;"未开工",1,0)+IF(AB30&lt;&gt;"未开工",1,0)</f>
        <v>36</v>
      </c>
      <c r="S3" s="24">
        <f>COUNTIF(AB7:AB122,"完工")+IF(AB23="完工",1,0)+IF(AB27="完工",1,0)+IF(AB30="完工",1,0)</f>
        <v>18</v>
      </c>
      <c r="T3" s="20">
        <f>SUM(AC7:AC122)</f>
        <v>235804.58</v>
      </c>
      <c r="U3" s="25">
        <f>IF(Q3=0,"-",ROUND(T3/Q3,3))</f>
        <v>0.742</v>
      </c>
    </row>
    <row r="4" ht="27" spans="1:21">
      <c r="A4" s="9" t="s">
        <v>1147</v>
      </c>
      <c r="B4" s="10">
        <f>I4+P4</f>
        <v>26</v>
      </c>
      <c r="C4" s="10">
        <f t="shared" si="0"/>
        <v>140102.01</v>
      </c>
      <c r="D4" s="10">
        <f t="shared" si="0"/>
        <v>26</v>
      </c>
      <c r="E4" s="10">
        <f t="shared" si="0"/>
        <v>8</v>
      </c>
      <c r="F4" s="10">
        <f t="shared" si="0"/>
        <v>116784.44</v>
      </c>
      <c r="G4" s="12">
        <f>IF(C4=0,"-",ROUND(F4/C4,3))</f>
        <v>0.834</v>
      </c>
      <c r="H4" s="8" t="s">
        <v>1148</v>
      </c>
      <c r="I4" s="17">
        <f>COUNTIF(G7:G122,"&gt;0")</f>
        <v>2</v>
      </c>
      <c r="J4" s="21">
        <f>SUM(G7:G122)</f>
        <v>1123</v>
      </c>
      <c r="K4" s="21">
        <f>COUNTIFS(G7:G122,"&gt;0",I7:I122,"完工")+COUNTIFS(G7:G122,"&gt;0",I7:I122,"在建")</f>
        <v>2</v>
      </c>
      <c r="L4" s="21">
        <f>COUNTIFS(G7:G122,"&gt;0",I7:I122,"完工")</f>
        <v>2</v>
      </c>
      <c r="M4" s="17">
        <f>SUM(K7:K122)</f>
        <v>1123</v>
      </c>
      <c r="N4" s="22">
        <f>IF(J4=0,"-",ROUND(M4/J4,3))</f>
        <v>1</v>
      </c>
      <c r="O4" s="19" t="s">
        <v>1148</v>
      </c>
      <c r="P4" s="20">
        <f>COUNTIF(Z7:Z122,"&gt;0")+3</f>
        <v>24</v>
      </c>
      <c r="Q4" s="24">
        <f>SUM(Z7:Z122)</f>
        <v>138979.01</v>
      </c>
      <c r="R4" s="24">
        <f>COUNTIFS(Z7:Z122,"&gt;0",AB7:AB122,"完工")+COUNTIFS(Z7:Z122,"&gt;0",AB7:AB122,"在建")+IF(AB23&lt;&gt;"未开工",1,0)+IF(AB27&lt;&gt;"未开工",1,0)+IF(AB30&lt;&gt;"未开工",1,0)</f>
        <v>24</v>
      </c>
      <c r="S4" s="24">
        <f>COUNTIFS(Z7:Z122,"&gt;0",AB7:AB122,"完工")+IF(AB23="完工",1,0)+IF(AB27="完工",1,0)+IF(AB30="完工",1,0)</f>
        <v>6</v>
      </c>
      <c r="T4" s="20">
        <f>SUM(AD7:AD122)</f>
        <v>115661.44</v>
      </c>
      <c r="U4" s="25">
        <f>IF(Q4=0,"-",ROUND(T4/Q4,3))</f>
        <v>0.832</v>
      </c>
    </row>
    <row r="5" s="1" customFormat="1" spans="1:37">
      <c r="A5" s="13" t="s">
        <v>1228</v>
      </c>
      <c r="B5" s="14"/>
      <c r="C5" s="14"/>
      <c r="D5" s="14"/>
      <c r="E5" s="14"/>
      <c r="F5" s="14"/>
      <c r="G5" s="14"/>
      <c r="H5" s="14"/>
      <c r="I5" s="14"/>
      <c r="J5" s="14"/>
      <c r="K5" s="14"/>
      <c r="L5" s="14"/>
      <c r="M5" s="14"/>
      <c r="N5" s="14"/>
      <c r="O5" s="14"/>
      <c r="P5" s="14"/>
      <c r="Q5" s="14"/>
      <c r="R5" s="36"/>
      <c r="T5" s="13" t="s">
        <v>1229</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规划内'!A14</f>
        <v>13</v>
      </c>
      <c r="B7" t="str">
        <f>'附件3 规划内'!B14</f>
        <v>惠济河</v>
      </c>
      <c r="C7" t="str">
        <f>'附件3 规划内'!C14</f>
        <v>水利</v>
      </c>
      <c r="D7" t="str">
        <f>'附件3 规划内'!D14</f>
        <v>土方回填，重新筑堤，涵闸重建。</v>
      </c>
      <c r="E7">
        <f>'附件3 规划内'!E14</f>
        <v>1113</v>
      </c>
      <c r="F7">
        <f>'附件3 规划内'!F14</f>
        <v>0</v>
      </c>
      <c r="G7">
        <f>'附件3 规划内'!G14</f>
        <v>1113</v>
      </c>
      <c r="H7">
        <f>'附件3 规划内'!H14</f>
        <v>0</v>
      </c>
      <c r="I7" t="str">
        <f>'附件3 规划内'!I14</f>
        <v>完工</v>
      </c>
      <c r="J7">
        <f>'附件3 规划内'!J14</f>
        <v>1113</v>
      </c>
      <c r="K7">
        <f>'附件3 规划内'!K14</f>
        <v>1113</v>
      </c>
      <c r="L7">
        <f>'附件3 规划内'!L14</f>
        <v>0</v>
      </c>
      <c r="M7" s="26">
        <f>'附件3 规划内'!M14</f>
        <v>44581</v>
      </c>
      <c r="N7" s="26">
        <f>'附件3 规划内'!N14</f>
        <v>44696</v>
      </c>
      <c r="O7" t="str">
        <f>'附件3 规划内'!O14</f>
        <v>市水利局</v>
      </c>
      <c r="P7" t="str">
        <f>'附件3 规划内'!P14</f>
        <v>市本级</v>
      </c>
      <c r="Q7">
        <f>'附件3 规划内'!Q14</f>
        <v>0</v>
      </c>
      <c r="R7">
        <f>'附件3 规划内'!R14</f>
        <v>0</v>
      </c>
      <c r="T7">
        <f>'附件4 规划外'!A2</f>
        <v>1</v>
      </c>
      <c r="U7" t="str">
        <f>'附件4 规划外'!B2</f>
        <v>开封市城区2019年农村饮水安全巩固提升工程基础设施修复</v>
      </c>
      <c r="V7" t="str">
        <f>'附件4 规划外'!C2</f>
        <v>水利</v>
      </c>
      <c r="W7" t="str">
        <f>'附件4 规划外'!D2</f>
        <v>供水管道、厂（站）基建设施以及供水设施等</v>
      </c>
      <c r="X7">
        <f>'附件4 规划外'!E2</f>
        <v>340</v>
      </c>
      <c r="Y7">
        <f>'附件4 规划外'!F2</f>
        <v>340</v>
      </c>
      <c r="Z7">
        <f>'附件4 规划外'!G2</f>
        <v>0</v>
      </c>
      <c r="AA7">
        <f>'附件4 规划外'!H2</f>
        <v>0</v>
      </c>
      <c r="AB7" t="str">
        <f>'附件4 规划外'!I2</f>
        <v>完工</v>
      </c>
      <c r="AC7">
        <f>'附件4 规划外'!J2</f>
        <v>340</v>
      </c>
      <c r="AD7" t="str">
        <f>'附件4 规划外'!K2</f>
        <v/>
      </c>
      <c r="AE7" t="str">
        <f>'附件4 规划外'!L2</f>
        <v>已完成</v>
      </c>
      <c r="AF7" s="26">
        <f>'附件4 规划外'!M2</f>
        <v>44440</v>
      </c>
      <c r="AG7" s="26">
        <f>'附件4 规划外'!N2</f>
        <v>44896</v>
      </c>
      <c r="AH7" t="str">
        <f>'附件4 规划外'!O2</f>
        <v>市水利局</v>
      </c>
      <c r="AI7" t="str">
        <f>'附件4 规划外'!P2</f>
        <v>市本级</v>
      </c>
      <c r="AJ7">
        <f>'附件4 规划外'!Q2</f>
        <v>0</v>
      </c>
      <c r="AK7">
        <f>'附件4 规划外'!R2</f>
        <v>0</v>
      </c>
    </row>
    <row r="8" spans="1:37">
      <c r="A8">
        <f>'附件3 规划内'!A83</f>
        <v>82</v>
      </c>
      <c r="B8" t="str">
        <f>'附件3 规划内'!B83</f>
        <v>S223线东三干渠至北康沟河桥段灾后恢复重建工程</v>
      </c>
      <c r="C8" t="str">
        <f>'附件3 规划内'!C83</f>
        <v>交通</v>
      </c>
      <c r="D8" t="str">
        <f>'附件3 规划内'!D83</f>
        <v>恢复重建道路14.055公里</v>
      </c>
      <c r="E8">
        <f>'附件3 规划内'!E83</f>
        <v>3460</v>
      </c>
      <c r="F8">
        <f>'附件3 规划内'!F83</f>
        <v>3460</v>
      </c>
      <c r="G8">
        <f>'附件3 规划内'!G83</f>
        <v>0</v>
      </c>
      <c r="H8">
        <f>'附件3 规划内'!H83</f>
        <v>0</v>
      </c>
      <c r="I8" t="str">
        <f>'附件3 规划内'!I83</f>
        <v>完工</v>
      </c>
      <c r="J8">
        <f>'附件3 规划内'!J83</f>
        <v>3460</v>
      </c>
      <c r="K8" t="str">
        <f>'附件3 规划内'!K83</f>
        <v/>
      </c>
      <c r="L8">
        <f>'附件3 规划内'!L83</f>
        <v>0</v>
      </c>
      <c r="M8" s="26">
        <f>'附件3 规划内'!M83</f>
        <v>44464</v>
      </c>
      <c r="N8" s="26">
        <f>'附件3 规划内'!N83</f>
        <v>44742</v>
      </c>
      <c r="O8" t="str">
        <f>'附件3 规划内'!O83</f>
        <v>市交通运输局</v>
      </c>
      <c r="P8" t="str">
        <f>'附件3 规划内'!P83</f>
        <v>市本级</v>
      </c>
      <c r="Q8">
        <f>'附件3 规划内'!Q83</f>
        <v>0</v>
      </c>
      <c r="R8" t="str">
        <f>'附件3 规划内'!R83</f>
        <v>2022年6月底 普通国省道</v>
      </c>
      <c r="T8">
        <f>'附件4 规划外'!A3</f>
        <v>2</v>
      </c>
      <c r="U8" t="str">
        <f>'附件4 规划外'!B3</f>
        <v>城乡供水管道水毁修复</v>
      </c>
      <c r="V8" t="str">
        <f>'附件4 规划外'!C3</f>
        <v>水利</v>
      </c>
      <c r="W8" t="str">
        <f>'附件4 规划外'!D3</f>
        <v>水毁城乡供水管道修复</v>
      </c>
      <c r="X8">
        <f>'附件4 规划外'!E3</f>
        <v>60</v>
      </c>
      <c r="Y8">
        <f>'附件4 规划外'!F3</f>
        <v>60</v>
      </c>
      <c r="Z8">
        <f>'附件4 规划外'!G3</f>
        <v>0</v>
      </c>
      <c r="AA8">
        <f>'附件4 规划外'!H3</f>
        <v>0</v>
      </c>
      <c r="AB8" t="str">
        <f>'附件4 规划外'!I3</f>
        <v>完工</v>
      </c>
      <c r="AC8">
        <f>'附件4 规划外'!J3</f>
        <v>60</v>
      </c>
      <c r="AD8" t="str">
        <f>'附件4 规划外'!K3</f>
        <v/>
      </c>
      <c r="AE8" t="str">
        <f>'附件4 规划外'!L3</f>
        <v>已完成</v>
      </c>
      <c r="AF8" s="26">
        <f>'附件4 规划外'!M3</f>
        <v>44440</v>
      </c>
      <c r="AG8" s="26">
        <f>'附件4 规划外'!N3</f>
        <v>44896</v>
      </c>
      <c r="AH8" t="str">
        <f>'附件4 规划外'!O3</f>
        <v>市水利局</v>
      </c>
      <c r="AI8" t="str">
        <f>'附件4 规划外'!P3</f>
        <v>市本级</v>
      </c>
      <c r="AJ8">
        <f>'附件4 规划外'!Q3</f>
        <v>0</v>
      </c>
      <c r="AK8">
        <f>'附件4 规划外'!R3</f>
        <v>0</v>
      </c>
    </row>
    <row r="9" spans="1:37">
      <c r="A9">
        <f>'附件3 规划内'!A84</f>
        <v>83</v>
      </c>
      <c r="B9" t="str">
        <f>'附件3 规划内'!B84</f>
        <v>开封市内河水运灾后恢复重建项目</v>
      </c>
      <c r="C9" t="str">
        <f>'附件3 规划内'!C84</f>
        <v>交通</v>
      </c>
      <c r="D9" t="str">
        <f>'附件3 规划内'!D84</f>
        <v>码头泊位8个</v>
      </c>
      <c r="E9">
        <f>'附件3 规划内'!E84</f>
        <v>87</v>
      </c>
      <c r="F9">
        <f>'附件3 规划内'!F84</f>
        <v>87</v>
      </c>
      <c r="G9">
        <f>'附件3 规划内'!G84</f>
        <v>0</v>
      </c>
      <c r="H9">
        <f>'附件3 规划内'!H84</f>
        <v>0</v>
      </c>
      <c r="I9" t="str">
        <f>'附件3 规划内'!I84</f>
        <v>完工</v>
      </c>
      <c r="J9">
        <f>'附件3 规划内'!J84</f>
        <v>87</v>
      </c>
      <c r="K9" t="str">
        <f>'附件3 规划内'!K84</f>
        <v/>
      </c>
      <c r="L9">
        <f>'附件3 规划内'!L84</f>
        <v>0</v>
      </c>
      <c r="M9" s="26">
        <f>'附件3 规划内'!M84</f>
        <v>44470</v>
      </c>
      <c r="N9" s="26">
        <f>'附件3 规划内'!N84</f>
        <v>44561</v>
      </c>
      <c r="O9" t="str">
        <f>'附件3 规划内'!O84</f>
        <v>市交通运输局</v>
      </c>
      <c r="P9" t="str">
        <f>'附件3 规划内'!P84</f>
        <v>市本级</v>
      </c>
      <c r="Q9">
        <f>'附件3 规划内'!Q84</f>
        <v>0</v>
      </c>
      <c r="R9" t="str">
        <f>'附件3 规划内'!R84</f>
        <v>2021年已建成</v>
      </c>
      <c r="T9">
        <f>'附件4 规划外'!A4</f>
        <v>3</v>
      </c>
      <c r="U9" t="str">
        <f>'附件4 规划外'!B4</f>
        <v>开封市黑岗口引黄调蓄水库水毁修复</v>
      </c>
      <c r="V9" t="str">
        <f>'附件4 规划外'!C4</f>
        <v>水利</v>
      </c>
      <c r="W9" t="str">
        <f>'附件4 规划外'!D4</f>
        <v>水毁修复护岸4500米</v>
      </c>
      <c r="X9">
        <f>'附件4 规划外'!E4</f>
        <v>60</v>
      </c>
      <c r="Y9">
        <f>'附件4 规划外'!F4</f>
        <v>60</v>
      </c>
      <c r="Z9">
        <f>'附件4 规划外'!G4</f>
        <v>0</v>
      </c>
      <c r="AA9">
        <f>'附件4 规划外'!H4</f>
        <v>0</v>
      </c>
      <c r="AB9" t="str">
        <f>'附件4 规划外'!I4</f>
        <v>完工</v>
      </c>
      <c r="AC9">
        <f>'附件4 规划外'!J4</f>
        <v>60</v>
      </c>
      <c r="AD9" t="str">
        <f>'附件4 规划外'!K4</f>
        <v/>
      </c>
      <c r="AE9" t="str">
        <f>'附件4 规划外'!L4</f>
        <v>已完成</v>
      </c>
      <c r="AF9" s="26">
        <f>'附件4 规划外'!M4</f>
        <v>44440</v>
      </c>
      <c r="AG9" s="26">
        <f>'附件4 规划外'!N4</f>
        <v>44896</v>
      </c>
      <c r="AH9" t="str">
        <f>'附件4 规划外'!O4</f>
        <v>市水利局</v>
      </c>
      <c r="AI9" t="str">
        <f>'附件4 规划外'!P4</f>
        <v>市本级</v>
      </c>
      <c r="AJ9">
        <f>'附件4 规划外'!Q4</f>
        <v>0</v>
      </c>
      <c r="AK9">
        <f>'附件4 规划外'!R4</f>
        <v>0</v>
      </c>
    </row>
    <row r="10" spans="1:37">
      <c r="A10">
        <f>'附件3 规划内'!A85</f>
        <v>84</v>
      </c>
      <c r="B10" t="str">
        <f>'附件3 规划内'!B85</f>
        <v>开封中心客运站</v>
      </c>
      <c r="C10" t="str">
        <f>'附件3 规划内'!C85</f>
        <v>交通</v>
      </c>
      <c r="D10" t="str">
        <f>'附件3 规划内'!D85</f>
        <v>雨水导致墙体开裂，脱落，需对墙体粉刷面积3200平方米，屋顶防水修复面积约1580平方米，更换自动售票机3台，更换摄像头7个，维修更换三品检查仪和LED显示屏。</v>
      </c>
      <c r="E10">
        <f>'附件3 规划内'!E85</f>
        <v>55.93</v>
      </c>
      <c r="F10">
        <f>'附件3 规划内'!F85</f>
        <v>55.93</v>
      </c>
      <c r="G10">
        <f>'附件3 规划内'!G85</f>
        <v>0</v>
      </c>
      <c r="H10">
        <f>'附件3 规划内'!H85</f>
        <v>0</v>
      </c>
      <c r="I10" t="str">
        <f>'附件3 规划内'!I85</f>
        <v>完工</v>
      </c>
      <c r="J10">
        <f>'附件3 规划内'!J85</f>
        <v>55.93</v>
      </c>
      <c r="K10" t="str">
        <f>'附件3 规划内'!K85</f>
        <v/>
      </c>
      <c r="L10">
        <f>'附件3 规划内'!L85</f>
        <v>0</v>
      </c>
      <c r="M10" s="26">
        <f>'附件3 规划内'!M85</f>
        <v>44470</v>
      </c>
      <c r="N10" s="26">
        <f>'附件3 规划内'!N85</f>
        <v>44561</v>
      </c>
      <c r="O10" t="str">
        <f>'附件3 规划内'!O85</f>
        <v>市交通运输局</v>
      </c>
      <c r="P10" t="str">
        <f>'附件3 规划内'!P85</f>
        <v>市本级</v>
      </c>
      <c r="Q10">
        <f>'附件3 规划内'!Q85</f>
        <v>0</v>
      </c>
      <c r="R10" t="str">
        <f>'附件3 规划内'!R85</f>
        <v>2021年已建成</v>
      </c>
      <c r="T10">
        <f>'附件4 规划外'!A5</f>
        <v>4</v>
      </c>
      <c r="U10" t="str">
        <f>'附件4 规划外'!B5</f>
        <v>马家河修复提升项目</v>
      </c>
      <c r="V10" t="str">
        <f>'附件4 规划外'!C5</f>
        <v>水利</v>
      </c>
      <c r="W10" t="str">
        <f>'附件4 规划外'!D5</f>
        <v>护岸滑塌，冲毁约12.5km，路基下掏空、路面坍塌破坏约0.49km，堤防修复约2.9km。</v>
      </c>
      <c r="X10">
        <f>'附件4 规划外'!E5</f>
        <v>500</v>
      </c>
      <c r="Y10">
        <f>'附件4 规划外'!F5</f>
        <v>500</v>
      </c>
      <c r="Z10">
        <f>'附件4 规划外'!G5</f>
        <v>0</v>
      </c>
      <c r="AA10">
        <f>'附件4 规划外'!H5</f>
        <v>0</v>
      </c>
      <c r="AB10" t="str">
        <f>'附件4 规划外'!I5</f>
        <v>完工</v>
      </c>
      <c r="AC10">
        <f>'附件4 规划外'!J5</f>
        <v>500</v>
      </c>
      <c r="AD10" t="str">
        <f>'附件4 规划外'!K5</f>
        <v/>
      </c>
      <c r="AE10" t="str">
        <f>'附件4 规划外'!L5</f>
        <v>已完成</v>
      </c>
      <c r="AF10" s="26">
        <f>'附件4 规划外'!M5</f>
        <v>44440</v>
      </c>
      <c r="AG10" s="26">
        <f>'附件4 规划外'!N5</f>
        <v>44896</v>
      </c>
      <c r="AH10" t="str">
        <f>'附件4 规划外'!O5</f>
        <v>市水利局</v>
      </c>
      <c r="AI10" t="str">
        <f>'附件4 规划外'!P5</f>
        <v>市本级</v>
      </c>
      <c r="AJ10">
        <f>'附件4 规划外'!Q5</f>
        <v>0</v>
      </c>
      <c r="AK10">
        <f>'附件4 规划外'!R5</f>
        <v>0</v>
      </c>
    </row>
    <row r="11" spans="1:37">
      <c r="A11">
        <f>'附件3 规划内'!A86</f>
        <v>85</v>
      </c>
      <c r="B11" t="str">
        <f>'附件3 规划内'!B86</f>
        <v>开封汽车西站</v>
      </c>
      <c r="C11" t="str">
        <f>'附件3 规划内'!C86</f>
        <v>交通</v>
      </c>
      <c r="D11" t="str">
        <f>'附件3 规划内'!D86</f>
        <v>雨水导致墙体开裂，脱落，需对墙体粉刷面积4000平方米，屋顶防水修复面积约1650平方米。</v>
      </c>
      <c r="E11">
        <f>'附件3 规划内'!E86</f>
        <v>23.57</v>
      </c>
      <c r="F11">
        <f>'附件3 规划内'!F86</f>
        <v>23.57</v>
      </c>
      <c r="G11">
        <f>'附件3 规划内'!G86</f>
        <v>0</v>
      </c>
      <c r="H11">
        <f>'附件3 规划内'!H86</f>
        <v>0</v>
      </c>
      <c r="I11" t="str">
        <f>'附件3 规划内'!I86</f>
        <v>完工</v>
      </c>
      <c r="J11">
        <f>'附件3 规划内'!J86</f>
        <v>23.57</v>
      </c>
      <c r="K11" t="str">
        <f>'附件3 规划内'!K86</f>
        <v/>
      </c>
      <c r="L11">
        <f>'附件3 规划内'!L86</f>
        <v>0</v>
      </c>
      <c r="M11" s="26">
        <f>'附件3 规划内'!M86</f>
        <v>44470</v>
      </c>
      <c r="N11" s="26">
        <f>'附件3 规划内'!N86</f>
        <v>44561</v>
      </c>
      <c r="O11" t="str">
        <f>'附件3 规划内'!O86</f>
        <v>市交通运输局</v>
      </c>
      <c r="P11" t="str">
        <f>'附件3 规划内'!P86</f>
        <v>市本级</v>
      </c>
      <c r="Q11">
        <f>'附件3 规划内'!Q86</f>
        <v>0</v>
      </c>
      <c r="R11" t="str">
        <f>'附件3 规划内'!R86</f>
        <v>2021年已建成</v>
      </c>
      <c r="T11">
        <f>'附件4 规划外'!A7</f>
        <v>6</v>
      </c>
      <c r="U11" t="str">
        <f>'附件4 规划外'!B7</f>
        <v>马家河综合治理（晋安路-宋城路蓄滞洪）水毁修复工程</v>
      </c>
      <c r="V11" t="str">
        <f>'附件4 规划外'!C7</f>
        <v>水利</v>
      </c>
      <c r="W11" t="str">
        <f>'附件4 规划外'!D7</f>
        <v>滞蓄洪工程、建筑物工程、防渗工程、河道治理、节制闸</v>
      </c>
      <c r="X11">
        <f>'附件4 规划外'!E7</f>
        <v>1500</v>
      </c>
      <c r="Y11">
        <f>'附件4 规划外'!F7</f>
        <v>1500</v>
      </c>
      <c r="Z11">
        <f>'附件4 规划外'!G7</f>
        <v>0</v>
      </c>
      <c r="AA11">
        <f>'附件4 规划外'!H7</f>
        <v>0</v>
      </c>
      <c r="AB11" t="str">
        <f>'附件4 规划外'!I7</f>
        <v>完工</v>
      </c>
      <c r="AC11">
        <f>'附件4 规划外'!J7</f>
        <v>1500</v>
      </c>
      <c r="AD11" t="str">
        <f>'附件4 规划外'!K7</f>
        <v/>
      </c>
      <c r="AE11" t="str">
        <f>'附件4 规划外'!L7</f>
        <v>已完成</v>
      </c>
      <c r="AF11" s="26">
        <f>'附件4 规划外'!M7</f>
        <v>44470</v>
      </c>
      <c r="AG11" s="26">
        <f>'附件4 规划外'!N7</f>
        <v>44896</v>
      </c>
      <c r="AH11" t="str">
        <f>'附件4 规划外'!O7</f>
        <v>市水利局</v>
      </c>
      <c r="AI11" t="str">
        <f>'附件4 规划外'!P7</f>
        <v>市本级</v>
      </c>
      <c r="AJ11">
        <f>'附件4 规划外'!Q7</f>
        <v>0</v>
      </c>
      <c r="AK11">
        <f>'附件4 规划外'!R7</f>
        <v>0</v>
      </c>
    </row>
    <row r="12" spans="1:37">
      <c r="A12">
        <f>'附件3 规划内'!A87</f>
        <v>86</v>
      </c>
      <c r="B12" t="str">
        <f>'附件3 规划内'!B87</f>
        <v>开封汽车东站</v>
      </c>
      <c r="C12" t="str">
        <f>'附件3 规划内'!C87</f>
        <v>交通</v>
      </c>
      <c r="D12" t="str">
        <f>'附件3 规划内'!D87</f>
        <v>房屋防水修复1537平米，室内吊顶修复300平方米，修复三品检查仪。</v>
      </c>
      <c r="E12">
        <f>'附件3 规划内'!E87</f>
        <v>23.48</v>
      </c>
      <c r="F12">
        <f>'附件3 规划内'!F87</f>
        <v>23.48</v>
      </c>
      <c r="G12">
        <f>'附件3 规划内'!G87</f>
        <v>0</v>
      </c>
      <c r="H12">
        <f>'附件3 规划内'!H87</f>
        <v>0</v>
      </c>
      <c r="I12" t="str">
        <f>'附件3 规划内'!I87</f>
        <v>完工</v>
      </c>
      <c r="J12">
        <f>'附件3 规划内'!J87</f>
        <v>23.48</v>
      </c>
      <c r="K12" t="str">
        <f>'附件3 规划内'!K87</f>
        <v/>
      </c>
      <c r="L12">
        <f>'附件3 规划内'!L87</f>
        <v>0</v>
      </c>
      <c r="M12" s="26">
        <f>'附件3 规划内'!M87</f>
        <v>44470</v>
      </c>
      <c r="N12" s="26">
        <f>'附件3 规划内'!N87</f>
        <v>44561</v>
      </c>
      <c r="O12" t="str">
        <f>'附件3 规划内'!O87</f>
        <v>市交通运输局</v>
      </c>
      <c r="P12" t="str">
        <f>'附件3 规划内'!P87</f>
        <v>市本级</v>
      </c>
      <c r="Q12">
        <f>'附件3 规划内'!Q87</f>
        <v>0</v>
      </c>
      <c r="R12" t="str">
        <f>'附件3 规划内'!R87</f>
        <v>2021年已建成</v>
      </c>
      <c r="T12">
        <f>'附件4 规划外'!A8</f>
        <v>7</v>
      </c>
      <c r="U12" t="str">
        <f>'附件4 规划外'!B8</f>
        <v>黑岗口引黄调蓄水库灾后重建及维护工程</v>
      </c>
      <c r="V12" t="str">
        <f>'附件4 规划外'!C8</f>
        <v>水利</v>
      </c>
      <c r="W12" t="str">
        <f>'附件4 规划外'!D8</f>
        <v>维修损坏区域园路、码头、喷淋、监控、绿化、亮化、升降路桩、变压器、配电箱、河道清淤、渔业养殖等</v>
      </c>
      <c r="X12">
        <f>'附件4 规划外'!E8</f>
        <v>448</v>
      </c>
      <c r="Y12">
        <f>'附件4 规划外'!F8</f>
        <v>448</v>
      </c>
      <c r="Z12">
        <f>'附件4 规划外'!G8</f>
        <v>0</v>
      </c>
      <c r="AA12">
        <f>'附件4 规划外'!H8</f>
        <v>0</v>
      </c>
      <c r="AB12" t="str">
        <f>'附件4 规划外'!I8</f>
        <v>完工</v>
      </c>
      <c r="AC12">
        <f>'附件4 规划外'!J8</f>
        <v>448</v>
      </c>
      <c r="AD12" t="str">
        <f>'附件4 规划外'!K8</f>
        <v/>
      </c>
      <c r="AE12" t="str">
        <f>'附件4 规划外'!L8</f>
        <v>已完成</v>
      </c>
      <c r="AF12" s="26">
        <f>'附件4 规划外'!M8</f>
        <v>44470</v>
      </c>
      <c r="AG12" s="26">
        <f>'附件4 规划外'!N8</f>
        <v>44896</v>
      </c>
      <c r="AH12" t="str">
        <f>'附件4 规划外'!O8</f>
        <v>市水利局</v>
      </c>
      <c r="AI12" t="str">
        <f>'附件4 规划外'!P8</f>
        <v>市本级</v>
      </c>
      <c r="AJ12">
        <f>'附件4 规划外'!Q8</f>
        <v>0</v>
      </c>
      <c r="AK12">
        <f>'附件4 规划外'!R8</f>
        <v>0</v>
      </c>
    </row>
    <row r="13" spans="1:37">
      <c r="A13">
        <f>'附件3 规划内'!A88</f>
        <v>87</v>
      </c>
      <c r="B13" t="str">
        <f>'附件3 规划内'!B88</f>
        <v>开封宋城路站</v>
      </c>
      <c r="C13" t="str">
        <f>'附件3 规划内'!C88</f>
        <v>交通</v>
      </c>
      <c r="D13" t="str">
        <f>'附件3 规划内'!D88</f>
        <v>雨水导致墙体开裂，脱落，需对墙体粉刷面积2200平方米，修复坍塌路面面积220平方米，室内吊顶200平方米，超高特殊防水休息面膜1900平米，修复坍塌围墙70余米，更换电缆600米。</v>
      </c>
      <c r="E13">
        <f>'附件3 规划内'!E88</f>
        <v>34.56</v>
      </c>
      <c r="F13">
        <f>'附件3 规划内'!F88</f>
        <v>34.56</v>
      </c>
      <c r="G13">
        <f>'附件3 规划内'!G88</f>
        <v>0</v>
      </c>
      <c r="H13">
        <f>'附件3 规划内'!H88</f>
        <v>0</v>
      </c>
      <c r="I13" t="str">
        <f>'附件3 规划内'!I88</f>
        <v>完工</v>
      </c>
      <c r="J13">
        <f>'附件3 规划内'!J88</f>
        <v>34.56</v>
      </c>
      <c r="K13" t="str">
        <f>'附件3 规划内'!K88</f>
        <v/>
      </c>
      <c r="L13">
        <f>'附件3 规划内'!L88</f>
        <v>0</v>
      </c>
      <c r="M13" s="26">
        <f>'附件3 规划内'!M88</f>
        <v>44470</v>
      </c>
      <c r="N13" s="26">
        <f>'附件3 规划内'!N88</f>
        <v>44561</v>
      </c>
      <c r="O13" t="str">
        <f>'附件3 规划内'!O88</f>
        <v>市交通运输局</v>
      </c>
      <c r="P13" t="str">
        <f>'附件3 规划内'!P88</f>
        <v>市本级</v>
      </c>
      <c r="Q13">
        <f>'附件3 规划内'!Q88</f>
        <v>0</v>
      </c>
      <c r="R13" t="str">
        <f>'附件3 规划内'!R88</f>
        <v>2021年已建成</v>
      </c>
      <c r="T13">
        <f>'附件4 规划外'!A9</f>
        <v>8</v>
      </c>
      <c r="U13" t="str">
        <f>'附件4 规划外'!B9</f>
        <v>黑岗口中型灌区续建配套与节水改造</v>
      </c>
      <c r="V13" t="str">
        <f>'附件4 规划外'!C9</f>
        <v>水利</v>
      </c>
      <c r="W13" t="str">
        <f>'附件4 规划外'!D9</f>
        <v>新建渠首10m?/s泵站1处，衬砌干渠33.78km，其中总干渠衬砌护坡1.5km，东干渠衬砌护坡32.28km；巡渠道路36.94km，其中东干渠23.59km，西干渠4.4km，南干渠8.95km；衬砌支渠9条，长度18.58km，清淤疏浚渠沟6条，长度26.35km；配套建筑物226座</v>
      </c>
      <c r="X13">
        <f>'附件4 规划外'!E9</f>
        <v>16105.87</v>
      </c>
      <c r="Y13">
        <f>'附件4 规划外'!F9</f>
        <v>8492</v>
      </c>
      <c r="Z13">
        <f>'附件4 规划外'!G9</f>
        <v>7613.87</v>
      </c>
      <c r="AA13">
        <f>'附件4 规划外'!H9</f>
        <v>0</v>
      </c>
      <c r="AB13" t="str">
        <f>'附件4 规划外'!I9</f>
        <v>在建</v>
      </c>
      <c r="AC13">
        <f>'附件4 规划外'!J9</f>
        <v>13492</v>
      </c>
      <c r="AD13">
        <f>'附件4 规划外'!K9</f>
        <v>5000</v>
      </c>
      <c r="AE13" t="str">
        <f>'附件4 规划外'!L9</f>
        <v>正在实施</v>
      </c>
      <c r="AF13" s="26">
        <f>'附件4 规划外'!M9</f>
        <v>44501</v>
      </c>
      <c r="AG13" s="26">
        <f>'附件4 规划外'!N9</f>
        <v>45017</v>
      </c>
      <c r="AH13" t="str">
        <f>'附件4 规划外'!O9</f>
        <v>市水利局</v>
      </c>
      <c r="AI13" t="str">
        <f>'附件4 规划外'!P9</f>
        <v>市本级</v>
      </c>
      <c r="AJ13">
        <f>'附件4 规划外'!Q9</f>
        <v>0</v>
      </c>
      <c r="AK13" t="str">
        <f>'附件4 规划外'!R9</f>
        <v>一期已完成，二期正在评审中</v>
      </c>
    </row>
    <row r="14" spans="1:37">
      <c r="A14">
        <f>'附件3 规划内'!A89</f>
        <v>88</v>
      </c>
      <c r="B14" t="str">
        <f>'附件3 规划内'!B89</f>
        <v>中薛线输气管道</v>
      </c>
      <c r="C14" t="str">
        <f>'附件3 规划内'!C89</f>
        <v>能源</v>
      </c>
      <c r="D14" t="str">
        <f>'附件3 规划内'!D89</f>
        <v>清理涵洞内淤泥，拆除原有入口，重新修筑</v>
      </c>
      <c r="E14">
        <f>'附件3 规划内'!E89</f>
        <v>10</v>
      </c>
      <c r="F14">
        <f>'附件3 规划内'!F89</f>
        <v>0</v>
      </c>
      <c r="G14">
        <f>'附件3 规划内'!G89</f>
        <v>10</v>
      </c>
      <c r="H14">
        <f>'附件3 规划内'!H89</f>
        <v>0</v>
      </c>
      <c r="I14" t="str">
        <f>'附件3 规划内'!I89</f>
        <v>完工</v>
      </c>
      <c r="J14">
        <f>'附件3 规划内'!J89</f>
        <v>10</v>
      </c>
      <c r="K14">
        <f>'附件3 规划内'!K89</f>
        <v>10</v>
      </c>
      <c r="L14">
        <f>'附件3 规划内'!L89</f>
        <v>0</v>
      </c>
      <c r="M14" s="26">
        <f>'附件3 规划内'!M89</f>
        <v>44440</v>
      </c>
      <c r="N14" s="26">
        <f>'附件3 规划内'!N89</f>
        <v>44561</v>
      </c>
      <c r="O14" t="str">
        <f>'附件3 规划内'!O89</f>
        <v>市发展改革委</v>
      </c>
      <c r="P14" t="str">
        <f>'附件3 规划内'!P89</f>
        <v>市本级</v>
      </c>
      <c r="Q14">
        <f>'附件3 规划内'!Q89</f>
        <v>0</v>
      </c>
      <c r="R14">
        <f>'附件3 规划内'!R89</f>
        <v>0</v>
      </c>
      <c r="T14">
        <f>'附件4 规划外'!A18</f>
        <v>18</v>
      </c>
      <c r="U14" t="str">
        <f>'附件4 规划外'!B18</f>
        <v>240线陈留镇北至祥符区通许县界段结构性修复工程</v>
      </c>
      <c r="V14" t="str">
        <f>'附件4 规划外'!C18</f>
        <v>交通</v>
      </c>
      <c r="W14" t="str">
        <f>'附件4 规划外'!D18</f>
        <v>修复道路长12.732公里，铣刨老路面后，对基层病害进行处治，自下而上加铺18cm水稳碎石+透层+橡胶沥青混凝土等。</v>
      </c>
      <c r="X14">
        <f>'附件4 规划外'!E18</f>
        <v>3779</v>
      </c>
      <c r="Y14">
        <f>'附件4 规划外'!F18</f>
        <v>3023</v>
      </c>
      <c r="Z14">
        <f>'附件4 规划外'!G18</f>
        <v>756</v>
      </c>
      <c r="AA14">
        <f>'附件4 规划外'!H18</f>
        <v>0</v>
      </c>
      <c r="AB14" t="str">
        <f>'附件4 规划外'!I18</f>
        <v>完工</v>
      </c>
      <c r="AC14">
        <f>'附件4 规划外'!J18</f>
        <v>3779</v>
      </c>
      <c r="AD14">
        <f>'附件4 规划外'!K18</f>
        <v>756</v>
      </c>
      <c r="AE14" t="str">
        <f>'附件4 规划外'!L18</f>
        <v>在建</v>
      </c>
      <c r="AF14" s="26">
        <f>'附件4 规划外'!M18</f>
        <v>44470</v>
      </c>
      <c r="AG14" s="26">
        <f>'附件4 规划外'!N18</f>
        <v>44896</v>
      </c>
      <c r="AH14" t="str">
        <f>'附件4 规划外'!O18</f>
        <v>市交通运输局</v>
      </c>
      <c r="AI14" t="str">
        <f>'附件4 规划外'!P18</f>
        <v>市本级</v>
      </c>
      <c r="AJ14">
        <f>'附件4 规划外'!Q18</f>
        <v>0</v>
      </c>
      <c r="AK14">
        <f>'附件4 规划外'!R18</f>
        <v>0</v>
      </c>
    </row>
    <row r="15" spans="1:37">
      <c r="A15">
        <f>'附件3 规划内'!A90</f>
        <v>89</v>
      </c>
      <c r="B15" t="str">
        <f>'附件3 规划内'!B90</f>
        <v>中薛线输气管道</v>
      </c>
      <c r="C15" t="str">
        <f>'附件3 规划内'!C90</f>
        <v>能源</v>
      </c>
      <c r="D15" t="str">
        <f>'附件3 规划内'!D90</f>
        <v>土方分层回填压实</v>
      </c>
      <c r="E15">
        <f>'附件3 规划内'!E90</f>
        <v>9</v>
      </c>
      <c r="F15">
        <f>'附件3 规划内'!F90</f>
        <v>9</v>
      </c>
      <c r="G15">
        <f>'附件3 规划内'!G90</f>
        <v>0</v>
      </c>
      <c r="H15">
        <f>'附件3 规划内'!H90</f>
        <v>0</v>
      </c>
      <c r="I15" t="str">
        <f>'附件3 规划内'!I90</f>
        <v>完工</v>
      </c>
      <c r="J15">
        <f>'附件3 规划内'!J90</f>
        <v>9</v>
      </c>
      <c r="K15" t="str">
        <f>'附件3 规划内'!K90</f>
        <v/>
      </c>
      <c r="L15">
        <f>'附件3 规划内'!L90</f>
        <v>0</v>
      </c>
      <c r="M15" s="26">
        <f>'附件3 规划内'!M90</f>
        <v>44409</v>
      </c>
      <c r="N15" s="26">
        <f>'附件3 规划内'!N90</f>
        <v>44409</v>
      </c>
      <c r="O15" t="str">
        <f>'附件3 规划内'!O90</f>
        <v>市发展改革委</v>
      </c>
      <c r="P15" t="str">
        <f>'附件3 规划内'!P90</f>
        <v>市本级</v>
      </c>
      <c r="Q15">
        <f>'附件3 规划内'!Q90</f>
        <v>0</v>
      </c>
      <c r="R15">
        <f>'附件3 规划内'!R90</f>
        <v>0</v>
      </c>
      <c r="T15">
        <f>'附件4 规划外'!A19</f>
        <v>19</v>
      </c>
      <c r="U15" t="str">
        <f>'附件4 规划外'!B19</f>
        <v>尉氏县干线公路修复</v>
      </c>
      <c r="V15" t="str">
        <f>'附件4 规划外'!C19</f>
        <v>交通</v>
      </c>
      <c r="W15" t="str">
        <f>'附件4 规划外'!D19</f>
        <v>S102、S223、S102、G230冲毁绿化平台、路肩216处35230立方,倒伏路树3500余棵,路面、路基损毁近18563万平方米,贾鲁河大桥等桥涵水毁缺损4座石砌护坡冲毁1180立方,安全指示标志损毁 20个。</v>
      </c>
      <c r="X15">
        <f>'附件4 规划外'!E19</f>
        <v>109</v>
      </c>
      <c r="Y15">
        <f>'附件4 规划外'!F19</f>
        <v>109</v>
      </c>
      <c r="Z15">
        <f>'附件4 规划外'!G19</f>
        <v>0</v>
      </c>
      <c r="AA15">
        <f>'附件4 规划外'!H19</f>
        <v>0</v>
      </c>
      <c r="AB15" t="str">
        <f>'附件4 规划外'!I19</f>
        <v>完工</v>
      </c>
      <c r="AC15">
        <f>'附件4 规划外'!J19</f>
        <v>109</v>
      </c>
      <c r="AD15" t="str">
        <f>'附件4 规划外'!K19</f>
        <v/>
      </c>
      <c r="AE15" t="str">
        <f>'附件4 规划外'!L19</f>
        <v>完工</v>
      </c>
      <c r="AF15" s="26">
        <f>'附件4 规划外'!M19</f>
        <v>44409</v>
      </c>
      <c r="AG15" s="26">
        <f>'附件4 规划外'!N19</f>
        <v>44470</v>
      </c>
      <c r="AH15" t="str">
        <f>'附件4 规划外'!O19</f>
        <v>市交通运输局</v>
      </c>
      <c r="AI15" t="str">
        <f>'附件4 规划外'!P19</f>
        <v>市本级</v>
      </c>
      <c r="AJ15">
        <f>'附件4 规划外'!Q19</f>
        <v>0</v>
      </c>
      <c r="AK15">
        <f>'附件4 规划外'!R19</f>
        <v>0</v>
      </c>
    </row>
    <row r="16" spans="1:37">
      <c r="A16">
        <f>'附件3 规划内'!A91</f>
        <v>90</v>
      </c>
      <c r="B16" t="str">
        <f>'附件3 规划内'!B91</f>
        <v>中薛线输气管道</v>
      </c>
      <c r="C16" t="str">
        <f>'附件3 规划内'!C91</f>
        <v>能源</v>
      </c>
      <c r="D16" t="str">
        <f>'附件3 规划内'!D91</f>
        <v>拆除原有水保，重新修筑水工保护</v>
      </c>
      <c r="E16">
        <f>'附件3 规划内'!E91</f>
        <v>5.5</v>
      </c>
      <c r="F16">
        <f>'附件3 规划内'!F91</f>
        <v>5.5</v>
      </c>
      <c r="G16">
        <f>'附件3 规划内'!G91</f>
        <v>0</v>
      </c>
      <c r="H16">
        <f>'附件3 规划内'!H91</f>
        <v>0</v>
      </c>
      <c r="I16" t="str">
        <f>'附件3 规划内'!I91</f>
        <v>完工</v>
      </c>
      <c r="J16">
        <f>'附件3 规划内'!J91</f>
        <v>5.5</v>
      </c>
      <c r="K16" t="str">
        <f>'附件3 规划内'!K91</f>
        <v/>
      </c>
      <c r="L16">
        <f>'附件3 规划内'!L91</f>
        <v>0</v>
      </c>
      <c r="M16" s="26">
        <f>'附件3 规划内'!M91</f>
        <v>44440</v>
      </c>
      <c r="N16" s="26">
        <f>'附件3 规划内'!N91</f>
        <v>44440</v>
      </c>
      <c r="O16" t="str">
        <f>'附件3 规划内'!O91</f>
        <v>市发展改革委</v>
      </c>
      <c r="P16" t="str">
        <f>'附件3 规划内'!P91</f>
        <v>市本级</v>
      </c>
      <c r="Q16">
        <f>'附件3 规划内'!Q91</f>
        <v>0</v>
      </c>
      <c r="R16">
        <f>'附件3 规划内'!R91</f>
        <v>0</v>
      </c>
      <c r="T16">
        <f>'附件4 规划外'!A20</f>
        <v>20</v>
      </c>
      <c r="U16" t="str">
        <f>'附件4 规划外'!B20</f>
        <v>祥符区干线公路修复</v>
      </c>
      <c r="V16" t="str">
        <f>'附件4 规划外'!C20</f>
        <v>交通</v>
      </c>
      <c r="W16" t="str">
        <f>'附件4 规划外'!D20</f>
        <v>G310冲毁绿化平台、路肩136处41500立方,损坏G240 线陇海立交桥等6座桥涵,护坡滑坡塌方29960立方 (土方),倒伏路树1320多棵,路面、路基损毁约18200平方米,3处标志。</v>
      </c>
      <c r="X16">
        <f>'附件4 规划外'!E20</f>
        <v>825</v>
      </c>
      <c r="Y16">
        <f>'附件4 规划外'!F20</f>
        <v>825</v>
      </c>
      <c r="Z16">
        <f>'附件4 规划外'!G20</f>
        <v>0</v>
      </c>
      <c r="AA16">
        <f>'附件4 规划外'!H20</f>
        <v>0</v>
      </c>
      <c r="AB16" t="str">
        <f>'附件4 规划外'!I20</f>
        <v>完工</v>
      </c>
      <c r="AC16">
        <f>'附件4 规划外'!J20</f>
        <v>825</v>
      </c>
      <c r="AD16" t="str">
        <f>'附件4 规划外'!K20</f>
        <v/>
      </c>
      <c r="AE16" t="str">
        <f>'附件4 规划外'!L20</f>
        <v>完工</v>
      </c>
      <c r="AF16" s="26">
        <f>'附件4 规划外'!M20</f>
        <v>44409</v>
      </c>
      <c r="AG16" s="26">
        <f>'附件4 规划外'!N20</f>
        <v>44471</v>
      </c>
      <c r="AH16" t="str">
        <f>'附件4 规划外'!O20</f>
        <v>市交通运输局</v>
      </c>
      <c r="AI16" t="str">
        <f>'附件4 规划外'!P20</f>
        <v>市本级</v>
      </c>
      <c r="AJ16">
        <f>'附件4 规划外'!Q20</f>
        <v>0</v>
      </c>
      <c r="AK16">
        <f>'附件4 规划外'!R20</f>
        <v>0</v>
      </c>
    </row>
    <row r="17" spans="1:37">
      <c r="A17">
        <f>'附件3 规划内'!A92</f>
        <v>91</v>
      </c>
      <c r="B17" t="str">
        <f>'附件3 规划内'!B92</f>
        <v>中薛线输气管道</v>
      </c>
      <c r="C17" t="str">
        <f>'附件3 规划内'!C92</f>
        <v>能源</v>
      </c>
      <c r="D17" t="str">
        <f>'附件3 规划内'!D92</f>
        <v>土方分层回填压实</v>
      </c>
      <c r="E17">
        <f>'附件3 规划内'!E92</f>
        <v>6</v>
      </c>
      <c r="F17">
        <f>'附件3 规划内'!F92</f>
        <v>6</v>
      </c>
      <c r="G17">
        <f>'附件3 规划内'!G92</f>
        <v>0</v>
      </c>
      <c r="H17">
        <f>'附件3 规划内'!H92</f>
        <v>0</v>
      </c>
      <c r="I17" t="str">
        <f>'附件3 规划内'!I92</f>
        <v>完工</v>
      </c>
      <c r="J17">
        <f>'附件3 规划内'!J92</f>
        <v>6</v>
      </c>
      <c r="K17" t="str">
        <f>'附件3 规划内'!K92</f>
        <v/>
      </c>
      <c r="L17">
        <f>'附件3 规划内'!L92</f>
        <v>0</v>
      </c>
      <c r="M17" s="26">
        <f>'附件3 规划内'!M92</f>
        <v>44409</v>
      </c>
      <c r="N17" s="26">
        <f>'附件3 规划内'!N92</f>
        <v>44409</v>
      </c>
      <c r="O17" t="str">
        <f>'附件3 规划内'!O92</f>
        <v>市发展改革委</v>
      </c>
      <c r="P17" t="str">
        <f>'附件3 规划内'!P92</f>
        <v>市本级</v>
      </c>
      <c r="Q17">
        <f>'附件3 规划内'!Q92</f>
        <v>0</v>
      </c>
      <c r="R17">
        <f>'附件3 规划内'!R92</f>
        <v>0</v>
      </c>
      <c r="T17">
        <f>'附件4 规划外'!A21</f>
        <v>21</v>
      </c>
      <c r="U17" t="str">
        <f>'附件4 规划外'!B21</f>
        <v>杞县干线公路修复</v>
      </c>
      <c r="V17" t="str">
        <f>'附件4 规划外'!C21</f>
        <v>交通</v>
      </c>
      <c r="W17" t="str">
        <f>'附件4 规划外'!D21</f>
        <v>S316冲毁绿化平台、路肩327处22183立方,损坏S220线涡河故道桥、S218芝麻洼场丘桥等3座桥函,石砌护坡滑坡塌方1563立方,倒伏路树1347棵,路面、路基损毁约12726平方米,柿园道班院墙倒塌214米。</v>
      </c>
      <c r="X17">
        <f>'附件4 规划外'!E21</f>
        <v>536</v>
      </c>
      <c r="Y17">
        <f>'附件4 规划外'!F21</f>
        <v>536</v>
      </c>
      <c r="Z17">
        <f>'附件4 规划外'!G21</f>
        <v>0</v>
      </c>
      <c r="AA17">
        <f>'附件4 规划外'!H21</f>
        <v>0</v>
      </c>
      <c r="AB17" t="str">
        <f>'附件4 规划外'!I21</f>
        <v>完工</v>
      </c>
      <c r="AC17">
        <f>'附件4 规划外'!J21</f>
        <v>536</v>
      </c>
      <c r="AD17" t="str">
        <f>'附件4 规划外'!K21</f>
        <v/>
      </c>
      <c r="AE17" t="str">
        <f>'附件4 规划外'!L21</f>
        <v>完工</v>
      </c>
      <c r="AF17" s="26">
        <f>'附件4 规划外'!M21</f>
        <v>44409</v>
      </c>
      <c r="AG17" s="26">
        <f>'附件4 规划外'!N21</f>
        <v>44472</v>
      </c>
      <c r="AH17" t="str">
        <f>'附件4 规划外'!O21</f>
        <v>市交通运输局</v>
      </c>
      <c r="AI17" t="str">
        <f>'附件4 规划外'!P21</f>
        <v>市本级</v>
      </c>
      <c r="AJ17">
        <f>'附件4 规划外'!Q21</f>
        <v>0</v>
      </c>
      <c r="AK17">
        <f>'附件4 规划外'!R21</f>
        <v>0</v>
      </c>
    </row>
    <row r="18" spans="1:37">
      <c r="A18">
        <f>'附件3 规划内'!A93</f>
        <v>92</v>
      </c>
      <c r="B18" t="str">
        <f>'附件3 规划内'!B93</f>
        <v>中薛线输气管道</v>
      </c>
      <c r="C18" t="str">
        <f>'附件3 规划内'!C93</f>
        <v>能源</v>
      </c>
      <c r="D18" t="str">
        <f>'附件3 规划内'!D93</f>
        <v>土方分层回填压实</v>
      </c>
      <c r="E18">
        <f>'附件3 规划内'!E93</f>
        <v>31</v>
      </c>
      <c r="F18">
        <f>'附件3 规划内'!F93</f>
        <v>31</v>
      </c>
      <c r="G18">
        <f>'附件3 规划内'!G93</f>
        <v>0</v>
      </c>
      <c r="H18">
        <f>'附件3 规划内'!H93</f>
        <v>0</v>
      </c>
      <c r="I18" t="str">
        <f>'附件3 规划内'!I93</f>
        <v>完工</v>
      </c>
      <c r="J18">
        <f>'附件3 规划内'!J93</f>
        <v>31</v>
      </c>
      <c r="K18" t="str">
        <f>'附件3 规划内'!K93</f>
        <v/>
      </c>
      <c r="L18">
        <f>'附件3 规划内'!L93</f>
        <v>0</v>
      </c>
      <c r="M18" s="26">
        <f>'附件3 规划内'!M93</f>
        <v>44409</v>
      </c>
      <c r="N18" s="26">
        <f>'附件3 规划内'!N93</f>
        <v>44409</v>
      </c>
      <c r="O18" t="str">
        <f>'附件3 规划内'!O93</f>
        <v>市发展改革委</v>
      </c>
      <c r="P18" t="str">
        <f>'附件3 规划内'!P93</f>
        <v>市本级</v>
      </c>
      <c r="Q18">
        <f>'附件3 规划内'!Q93</f>
        <v>0</v>
      </c>
      <c r="R18">
        <f>'附件3 规划内'!R93</f>
        <v>0</v>
      </c>
      <c r="T18">
        <f>'附件4 规划外'!A22</f>
        <v>22</v>
      </c>
      <c r="U18" t="str">
        <f>'附件4 规划外'!B22</f>
        <v>通许县干线公路修复</v>
      </c>
      <c r="V18" t="str">
        <f>'附件4 规划外'!C22</f>
        <v>交通</v>
      </c>
      <c r="W18" t="str">
        <f>'附件4 规划外'!D22</f>
        <v>G343、G240、S221、S222涉及冲毁绿化平台、路肩346 处47740立方米,损坏桥梁5座,桥面铺装损坏1750平 方,桥面伸缩缝5处,护坡滑坡塌方1379立方,倒伏路 树1246多棵,路面、路基损毁约16760平方米,道班院 墙倒塌(裴庄道班、张小楼道班、机械化养护队), 房顶损坏2处,安全指示标志损毁18个。</v>
      </c>
      <c r="X18">
        <f>'附件4 规划外'!E22</f>
        <v>754</v>
      </c>
      <c r="Y18">
        <f>'附件4 规划外'!F22</f>
        <v>754</v>
      </c>
      <c r="Z18">
        <f>'附件4 规划外'!G22</f>
        <v>0</v>
      </c>
      <c r="AA18">
        <f>'附件4 规划外'!H22</f>
        <v>0</v>
      </c>
      <c r="AB18" t="str">
        <f>'附件4 规划外'!I22</f>
        <v>完工</v>
      </c>
      <c r="AC18">
        <f>'附件4 规划外'!J22</f>
        <v>754</v>
      </c>
      <c r="AD18" t="str">
        <f>'附件4 规划外'!K22</f>
        <v/>
      </c>
      <c r="AE18" t="str">
        <f>'附件4 规划外'!L22</f>
        <v>完工</v>
      </c>
      <c r="AF18" s="26">
        <f>'附件4 规划外'!M22</f>
        <v>44409</v>
      </c>
      <c r="AG18" s="26">
        <f>'附件4 规划外'!N22</f>
        <v>44473</v>
      </c>
      <c r="AH18" t="str">
        <f>'附件4 规划外'!O22</f>
        <v>市交通运输局</v>
      </c>
      <c r="AI18" t="str">
        <f>'附件4 规划外'!P22</f>
        <v>市本级</v>
      </c>
      <c r="AJ18">
        <f>'附件4 规划外'!Q22</f>
        <v>0</v>
      </c>
      <c r="AK18">
        <f>'附件4 规划外'!R22</f>
        <v>0</v>
      </c>
    </row>
    <row r="19" spans="1:37">
      <c r="A19">
        <f>'附件3 规划内'!A94</f>
        <v>93</v>
      </c>
      <c r="B19" t="str">
        <f>'附件3 规划内'!B94</f>
        <v>中薛线输气管道</v>
      </c>
      <c r="C19" t="str">
        <f>'附件3 规划内'!C94</f>
        <v>能源</v>
      </c>
      <c r="D19" t="str">
        <f>'附件3 规划内'!D94</f>
        <v>土方分层回填压实</v>
      </c>
      <c r="E19">
        <f>'附件3 规划内'!E94</f>
        <v>3.5</v>
      </c>
      <c r="F19">
        <f>'附件3 规划内'!F94</f>
        <v>3.5</v>
      </c>
      <c r="G19">
        <f>'附件3 规划内'!G94</f>
        <v>0</v>
      </c>
      <c r="H19">
        <f>'附件3 规划内'!H94</f>
        <v>0</v>
      </c>
      <c r="I19" t="str">
        <f>'附件3 规划内'!I94</f>
        <v>完工</v>
      </c>
      <c r="J19">
        <f>'附件3 规划内'!J94</f>
        <v>3.5</v>
      </c>
      <c r="K19" t="str">
        <f>'附件3 规划内'!K94</f>
        <v/>
      </c>
      <c r="L19">
        <f>'附件3 规划内'!L94</f>
        <v>0</v>
      </c>
      <c r="M19" s="26">
        <f>'附件3 规划内'!M94</f>
        <v>44409</v>
      </c>
      <c r="N19" s="26">
        <f>'附件3 规划内'!N94</f>
        <v>44409</v>
      </c>
      <c r="O19" t="str">
        <f>'附件3 规划内'!O94</f>
        <v>市发展改革委</v>
      </c>
      <c r="P19" t="str">
        <f>'附件3 规划内'!P94</f>
        <v>市本级</v>
      </c>
      <c r="Q19">
        <f>'附件3 规划内'!Q94</f>
        <v>0</v>
      </c>
      <c r="R19">
        <f>'附件3 规划内'!R94</f>
        <v>0</v>
      </c>
      <c r="T19">
        <f>'附件4 规划外'!A23</f>
        <v>23</v>
      </c>
      <c r="U19" t="str">
        <f>'附件4 规划外'!B23</f>
        <v>城区干线公路修复</v>
      </c>
      <c r="V19" t="str">
        <f>'附件4 规划外'!C23</f>
        <v>交通</v>
      </c>
      <c r="W19" t="str">
        <f>'附件4 规划外'!D23</f>
        <v>G310、S314涉及冲毁绿化平台、路肩75处5410立方, 损毁刘寺桥等桥涵3座桥头石砌护坡冲毁80立方,路面 、路基水毁4200平方。</v>
      </c>
      <c r="X19">
        <f>'附件4 规划外'!E23</f>
        <v>110</v>
      </c>
      <c r="Y19">
        <f>'附件4 规划外'!F23</f>
        <v>110</v>
      </c>
      <c r="Z19">
        <f>'附件4 规划外'!G23</f>
        <v>0</v>
      </c>
      <c r="AA19">
        <f>'附件4 规划外'!H23</f>
        <v>0</v>
      </c>
      <c r="AB19" t="str">
        <f>'附件4 规划外'!I23</f>
        <v>完工</v>
      </c>
      <c r="AC19">
        <f>'附件4 规划外'!J23</f>
        <v>110</v>
      </c>
      <c r="AD19" t="str">
        <f>'附件4 规划外'!K23</f>
        <v/>
      </c>
      <c r="AE19" t="str">
        <f>'附件4 规划外'!L23</f>
        <v>完工</v>
      </c>
      <c r="AF19" s="26">
        <f>'附件4 规划外'!M23</f>
        <v>44409</v>
      </c>
      <c r="AG19" s="26">
        <f>'附件4 规划外'!N23</f>
        <v>44474</v>
      </c>
      <c r="AH19" t="str">
        <f>'附件4 规划外'!O23</f>
        <v>市交通运输局</v>
      </c>
      <c r="AI19" t="str">
        <f>'附件4 规划外'!P23</f>
        <v>市本级</v>
      </c>
      <c r="AJ19">
        <f>'附件4 规划外'!Q23</f>
        <v>0</v>
      </c>
      <c r="AK19">
        <f>'附件4 规划外'!R23</f>
        <v>0</v>
      </c>
    </row>
    <row r="20" spans="1:37">
      <c r="A20">
        <f>'附件3 规划内'!A95</f>
        <v>94</v>
      </c>
      <c r="B20" t="str">
        <f>'附件3 规划内'!B95</f>
        <v>中薛线输气管道</v>
      </c>
      <c r="C20" t="str">
        <f>'附件3 规划内'!C95</f>
        <v>能源</v>
      </c>
      <c r="D20" t="str">
        <f>'附件3 规划内'!D95</f>
        <v>土方分层回填压实</v>
      </c>
      <c r="E20">
        <f>'附件3 规划内'!E95</f>
        <v>2.3</v>
      </c>
      <c r="F20">
        <f>'附件3 规划内'!F95</f>
        <v>2.3</v>
      </c>
      <c r="G20">
        <f>'附件3 规划内'!G95</f>
        <v>0</v>
      </c>
      <c r="H20">
        <f>'附件3 规划内'!H95</f>
        <v>0</v>
      </c>
      <c r="I20" t="str">
        <f>'附件3 规划内'!I95</f>
        <v>完工</v>
      </c>
      <c r="J20">
        <f>'附件3 规划内'!J95</f>
        <v>2.3</v>
      </c>
      <c r="K20" t="str">
        <f>'附件3 规划内'!K95</f>
        <v/>
      </c>
      <c r="L20">
        <f>'附件3 规划内'!L95</f>
        <v>0</v>
      </c>
      <c r="M20" s="26">
        <f>'附件3 规划内'!M95</f>
        <v>44409</v>
      </c>
      <c r="N20" s="26">
        <f>'附件3 规划内'!N95</f>
        <v>44409</v>
      </c>
      <c r="O20" t="str">
        <f>'附件3 规划内'!O95</f>
        <v>市发展改革委</v>
      </c>
      <c r="P20" t="str">
        <f>'附件3 规划内'!P95</f>
        <v>市本级</v>
      </c>
      <c r="Q20">
        <f>'附件3 规划内'!Q95</f>
        <v>0</v>
      </c>
      <c r="R20">
        <f>'附件3 规划内'!R95</f>
        <v>0</v>
      </c>
      <c r="T20">
        <f>'附件4 规划外'!A32</f>
        <v>42</v>
      </c>
      <c r="U20" t="str">
        <f>'附件4 规划外'!B32</f>
        <v>新区二水厂建设</v>
      </c>
      <c r="V20" t="str">
        <f>'附件4 规划外'!C32</f>
        <v>市政</v>
      </c>
      <c r="W20" t="str">
        <f>'附件4 规划外'!D32</f>
        <v>项目占地约163亩，先期建设供水能力为20万m3/d，净水处理工艺采用“常规处理+深度处理+污泥处理”工艺。</v>
      </c>
      <c r="X20">
        <f>'附件4 规划外'!E32</f>
        <v>51347</v>
      </c>
      <c r="Y20">
        <f>'附件4 规划外'!F32</f>
        <v>39411</v>
      </c>
      <c r="Z20">
        <f>'附件4 规划外'!G32</f>
        <v>11936</v>
      </c>
      <c r="AA20">
        <f>'附件4 规划外'!H32</f>
        <v>0</v>
      </c>
      <c r="AB20" t="str">
        <f>'附件4 规划外'!I32</f>
        <v>在建</v>
      </c>
      <c r="AC20">
        <f>'附件4 规划外'!J32</f>
        <v>44430</v>
      </c>
      <c r="AD20">
        <f>'附件4 规划外'!K32</f>
        <v>5019</v>
      </c>
      <c r="AE20" t="str">
        <f>'附件4 规划外'!L32</f>
        <v>主体工程已完工，正在进行二次结构和装修施工</v>
      </c>
      <c r="AF20" s="26">
        <f>'附件4 规划外'!M32</f>
        <v>44197</v>
      </c>
      <c r="AG20" s="26">
        <f>'附件4 规划外'!N32</f>
        <v>44896</v>
      </c>
      <c r="AH20" t="str">
        <f>'附件4 规划外'!O32</f>
        <v>市城管局</v>
      </c>
      <c r="AI20" t="str">
        <f>'附件4 规划外'!P32</f>
        <v>市本级</v>
      </c>
      <c r="AJ20">
        <f>'附件4 规划外'!Q32</f>
        <v>0</v>
      </c>
      <c r="AK20">
        <f>'附件4 规划外'!R32</f>
        <v>0</v>
      </c>
    </row>
    <row r="21" spans="1:37">
      <c r="A21">
        <f>'附件3 规划内'!A96</f>
        <v>95</v>
      </c>
      <c r="B21" t="str">
        <f>'附件3 规划内'!B96</f>
        <v>开许线</v>
      </c>
      <c r="C21" t="str">
        <f>'附件3 规划内'!C96</f>
        <v>能源</v>
      </c>
      <c r="D21" t="str">
        <f>'附件3 规划内'!D96</f>
        <v>管道上方三处水土流失。</v>
      </c>
      <c r="E21">
        <f>'附件3 规划内'!E96</f>
        <v>16</v>
      </c>
      <c r="F21">
        <f>'附件3 规划内'!F96</f>
        <v>16</v>
      </c>
      <c r="G21">
        <f>'附件3 规划内'!G96</f>
        <v>0</v>
      </c>
      <c r="H21">
        <f>'附件3 规划内'!H96</f>
        <v>0</v>
      </c>
      <c r="I21" t="str">
        <f>'附件3 规划内'!I96</f>
        <v>完工</v>
      </c>
      <c r="J21">
        <f>'附件3 规划内'!J96</f>
        <v>16</v>
      </c>
      <c r="K21" t="str">
        <f>'附件3 规划内'!K96</f>
        <v/>
      </c>
      <c r="L21">
        <f>'附件3 规划内'!L96</f>
        <v>0</v>
      </c>
      <c r="M21" s="26">
        <f>'附件3 规划内'!M96</f>
        <v>44440</v>
      </c>
      <c r="N21" s="26">
        <f>'附件3 规划内'!N96</f>
        <v>44561</v>
      </c>
      <c r="O21" t="str">
        <f>'附件3 规划内'!O96</f>
        <v>市发展改革委</v>
      </c>
      <c r="P21" t="str">
        <f>'附件3 规划内'!P96</f>
        <v>市本级</v>
      </c>
      <c r="Q21">
        <f>'附件3 规划内'!Q96</f>
        <v>0</v>
      </c>
      <c r="R21">
        <f>'附件3 规划内'!R96</f>
        <v>0</v>
      </c>
      <c r="T21">
        <f>'附件4 规划外'!A33</f>
        <v>43</v>
      </c>
      <c r="U21" t="str">
        <f>'附件4 规划外'!B33</f>
        <v>新区二水厂管网建设</v>
      </c>
      <c r="V21" t="str">
        <f>'附件4 规划外'!C33</f>
        <v>市政</v>
      </c>
      <c r="W21" t="str">
        <f>'附件4 规划外'!D33</f>
        <v>示范区水厂配套管网建设</v>
      </c>
      <c r="X21">
        <f>'附件4 规划外'!E33</f>
        <v>26000</v>
      </c>
      <c r="Y21">
        <f>'附件4 规划外'!F33</f>
        <v>17500</v>
      </c>
      <c r="Z21">
        <f>'附件4 规划外'!G33</f>
        <v>8500</v>
      </c>
      <c r="AA21">
        <f>'附件4 规划外'!H33</f>
        <v>0</v>
      </c>
      <c r="AB21" t="str">
        <f>'附件4 规划外'!I33</f>
        <v>在建</v>
      </c>
      <c r="AC21">
        <f>'附件4 规划外'!J33</f>
        <v>20900</v>
      </c>
      <c r="AD21">
        <f>'附件4 规划外'!K33</f>
        <v>3400</v>
      </c>
      <c r="AE21" t="str">
        <f>'附件4 规划外'!L33</f>
        <v>正在进行管网铺设</v>
      </c>
      <c r="AF21" s="26">
        <f>'附件4 规划外'!M33</f>
        <v>44197</v>
      </c>
      <c r="AG21" s="26">
        <f>'附件4 规划外'!N33</f>
        <v>44896</v>
      </c>
      <c r="AH21" t="str">
        <f>'附件4 规划外'!O33</f>
        <v>市城管局</v>
      </c>
      <c r="AI21" t="str">
        <f>'附件4 规划外'!P33</f>
        <v>市本级</v>
      </c>
      <c r="AJ21">
        <f>'附件4 规划外'!Q33</f>
        <v>0</v>
      </c>
      <c r="AK21">
        <f>'附件4 规划外'!R33</f>
        <v>0</v>
      </c>
    </row>
    <row r="22" spans="1:37">
      <c r="A22">
        <f>'附件3 规划内'!A247</f>
        <v>228</v>
      </c>
      <c r="B22" t="str">
        <f>'附件3 规划内'!B247</f>
        <v>开封市市政公用设施洪涝灾害损毁修复工程</v>
      </c>
      <c r="C22" t="str">
        <f>'附件3 规划内'!C247</f>
        <v>市政</v>
      </c>
      <c r="D22" t="str">
        <f>'附件3 规划内'!D247</f>
        <v>仁和屯、东郊沟、包公湖、河池等10个泵站、6个闸门损坏更换，以及调蓄池、进水渠、出水口、污水管网和设备等损毁修复。</v>
      </c>
      <c r="E22">
        <f>'附件3 规划内'!E247</f>
        <v>3260</v>
      </c>
      <c r="F22">
        <f>'附件3 规划内'!F247</f>
        <v>3260</v>
      </c>
      <c r="G22">
        <f>'附件3 规划内'!G247</f>
        <v>0</v>
      </c>
      <c r="H22">
        <f>'附件3 规划内'!H247</f>
        <v>0</v>
      </c>
      <c r="I22" t="str">
        <f>'附件3 规划内'!I247</f>
        <v>完工</v>
      </c>
      <c r="J22">
        <f>'附件3 规划内'!J247</f>
        <v>3260</v>
      </c>
      <c r="K22" t="str">
        <f>'附件3 规划内'!K247</f>
        <v/>
      </c>
      <c r="L22">
        <f>'附件3 规划内'!L247</f>
        <v>0</v>
      </c>
      <c r="M22" s="26">
        <f>'附件3 规划内'!M247</f>
        <v>44470</v>
      </c>
      <c r="N22" s="26">
        <f>'附件3 规划内'!N247</f>
        <v>44896</v>
      </c>
      <c r="O22" t="str">
        <f>'附件3 规划内'!O247</f>
        <v>市城管局</v>
      </c>
      <c r="P22" t="str">
        <f>'附件3 规划内'!P247</f>
        <v>市本级</v>
      </c>
      <c r="Q22">
        <f>'附件3 规划内'!Q247</f>
        <v>0</v>
      </c>
      <c r="R22">
        <f>'附件3 规划内'!R247</f>
        <v>0</v>
      </c>
      <c r="T22">
        <f>'附件4 规划外'!A99</f>
        <v>109</v>
      </c>
      <c r="U22" t="str">
        <f>'附件4 规划外'!B99</f>
        <v>开封市公益性公墓</v>
      </c>
      <c r="V22" t="str">
        <f>'附件4 规划外'!C99</f>
        <v>民政</v>
      </c>
      <c r="W22" t="str">
        <f>'附件4 规划外'!D99</f>
        <v>开封市公益性公墓位于陇海九路以南、二十一大街以西，占地200亩，总建筑面积3287平方米，共设置9个墓区，规划墓位总数47452个</v>
      </c>
      <c r="X22">
        <f>'附件4 规划外'!E99</f>
        <v>6015</v>
      </c>
      <c r="Y22">
        <f>'附件4 规划外'!F99</f>
        <v>2313.4</v>
      </c>
      <c r="Z22">
        <f>'附件4 规划外'!G99</f>
        <v>3701.6</v>
      </c>
      <c r="AA22">
        <f>'附件4 规划外'!H99</f>
        <v>0</v>
      </c>
      <c r="AB22" t="str">
        <f>'附件4 规划外'!I99</f>
        <v>完工</v>
      </c>
      <c r="AC22">
        <f>'附件4 规划外'!J99</f>
        <v>6015</v>
      </c>
      <c r="AD22">
        <f>'附件4 规划外'!K99</f>
        <v>3701.6</v>
      </c>
      <c r="AE22" t="str">
        <f>'附件4 规划外'!L99</f>
        <v>已完工</v>
      </c>
      <c r="AF22" s="26">
        <f>'附件4 规划外'!M99</f>
        <v>44470</v>
      </c>
      <c r="AG22" s="26">
        <f>'附件4 规划外'!N99</f>
        <v>44682</v>
      </c>
      <c r="AH22" t="str">
        <f>'附件4 规划外'!O99</f>
        <v>市民政局</v>
      </c>
      <c r="AI22" t="str">
        <f>'附件4 规划外'!P99</f>
        <v>市本级</v>
      </c>
      <c r="AJ22">
        <f>'附件4 规划外'!Q99</f>
        <v>0</v>
      </c>
      <c r="AK22">
        <f>'附件4 规划外'!R99</f>
        <v>0</v>
      </c>
    </row>
    <row r="23" spans="1:37">
      <c r="A23">
        <f>'附件3 规划内'!A248</f>
        <v>229</v>
      </c>
      <c r="B23" t="str">
        <f>'附件3 规划内'!B248</f>
        <v>开封市卫生学校校舍灾后恢复重建项目</v>
      </c>
      <c r="C23" t="str">
        <f>'附件3 规划内'!C248</f>
        <v>卫生健康</v>
      </c>
      <c r="D23" t="str">
        <f>'附件3 规划内'!D248</f>
        <v>学校东校区1号宿舍楼610平方米、3号宿舍楼楼顶780平方米，合计1390平方米的屋顶防水改造。</v>
      </c>
      <c r="E23">
        <f>'附件3 规划内'!E248</f>
        <v>150</v>
      </c>
      <c r="F23">
        <f>'附件3 规划内'!F248</f>
        <v>150</v>
      </c>
      <c r="G23">
        <f>'附件3 规划内'!G248</f>
        <v>0</v>
      </c>
      <c r="H23">
        <f>'附件3 规划内'!H248</f>
        <v>0</v>
      </c>
      <c r="I23" t="str">
        <f>'附件3 规划内'!I248</f>
        <v>完工</v>
      </c>
      <c r="J23">
        <f>'附件3 规划内'!J248</f>
        <v>150</v>
      </c>
      <c r="K23" t="str">
        <f>'附件3 规划内'!K248</f>
        <v/>
      </c>
      <c r="L23">
        <f>'附件3 规划内'!L248</f>
        <v>0</v>
      </c>
      <c r="M23" s="26">
        <f>'附件3 规划内'!M248</f>
        <v>44470</v>
      </c>
      <c r="N23" s="26">
        <f>'附件3 规划内'!N248</f>
        <v>44531</v>
      </c>
      <c r="O23" t="str">
        <f>'附件3 规划内'!O248</f>
        <v>市教体局</v>
      </c>
      <c r="P23" t="str">
        <f>'附件3 规划内'!P248</f>
        <v>市本级</v>
      </c>
      <c r="Q23">
        <f>'附件3 规划内'!Q248</f>
        <v>0</v>
      </c>
      <c r="R23" t="str">
        <f>'附件3 规划内'!R248</f>
        <v>2021年已完工</v>
      </c>
      <c r="T23" s="27" t="str">
        <f>'附件4 规划外'!A100</f>
        <v>110-111</v>
      </c>
      <c r="U23" s="27" t="str">
        <f>'附件4 规划外'!B100</f>
        <v>开封市街道（社区）综合养老服务中心项目（一期）</v>
      </c>
      <c r="V23" s="27" t="str">
        <f>'附件4 规划外'!C100</f>
        <v>民政</v>
      </c>
      <c r="W23" s="27" t="str">
        <f>'附件4 规划外'!D100</f>
        <v>1.6个街道级养老机构消防加装、电梯、装修改造。
2.4个社区级养老机构消防加装、电梯、装修改造。</v>
      </c>
      <c r="X23" s="27">
        <f>'附件4 规划外'!E100</f>
        <v>7000</v>
      </c>
      <c r="Y23" s="27">
        <f>'附件4 规划外'!F100</f>
        <v>0</v>
      </c>
      <c r="Z23" s="27">
        <f>'附件4 规划外'!G100</f>
        <v>7000</v>
      </c>
      <c r="AA23" s="27">
        <f>'附件4 规划外'!H100</f>
        <v>0</v>
      </c>
      <c r="AB23" s="27" t="str">
        <f>'附件4 规划外'!I100</f>
        <v>在建</v>
      </c>
      <c r="AC23" s="27">
        <f>'附件4 规划外'!J100</f>
        <v>6100</v>
      </c>
      <c r="AD23" s="27">
        <f>'附件4 规划外'!K100</f>
        <v>6100</v>
      </c>
      <c r="AE23" s="27" t="str">
        <f>'附件4 规划外'!L100</f>
        <v>未开工</v>
      </c>
      <c r="AF23" s="28">
        <f>'附件4 规划外'!M100</f>
        <v>44682</v>
      </c>
      <c r="AG23" s="28">
        <f>'附件4 规划外'!N100</f>
        <v>44896</v>
      </c>
      <c r="AH23" s="27" t="str">
        <f>'附件4 规划外'!O100</f>
        <v>市民政局</v>
      </c>
      <c r="AI23" s="27" t="str">
        <f>'附件4 规划外'!P100</f>
        <v>市本级</v>
      </c>
      <c r="AJ23" s="27">
        <f>'附件4 规划外'!Q100</f>
        <v>0</v>
      </c>
      <c r="AK23" s="27">
        <f>'附件4 规划外'!R100</f>
        <v>0</v>
      </c>
    </row>
    <row r="24" spans="1:37">
      <c r="A24">
        <f>'附件3 规划内'!A249</f>
        <v>230</v>
      </c>
      <c r="B24" t="str">
        <f>'附件3 规划内'!B249</f>
        <v>开封市妇幼保健院灾后恢复重建项目</v>
      </c>
      <c r="C24" t="str">
        <f>'附件3 规划内'!C249</f>
        <v>卫生健康</v>
      </c>
      <c r="D24" t="str">
        <f>'附件3 规划内'!D249</f>
        <v>老院区水毁防水工程修复1650㎡；被水浸泡的医用护墙板及木地板进行更换，强电箱、弱电箱、平板灯更换，修复老院区塌陷的排水管沟。</v>
      </c>
      <c r="E24">
        <f>'附件3 规划内'!E249</f>
        <v>150</v>
      </c>
      <c r="F24">
        <f>'附件3 规划内'!F249</f>
        <v>150</v>
      </c>
      <c r="G24">
        <f>'附件3 规划内'!G249</f>
        <v>0</v>
      </c>
      <c r="H24">
        <f>'附件3 规划内'!H249</f>
        <v>0</v>
      </c>
      <c r="I24" t="str">
        <f>'附件3 规划内'!I249</f>
        <v>完工</v>
      </c>
      <c r="J24">
        <f>'附件3 规划内'!J249</f>
        <v>150</v>
      </c>
      <c r="K24" t="str">
        <f>'附件3 规划内'!K249</f>
        <v/>
      </c>
      <c r="L24">
        <f>'附件3 规划内'!L249</f>
        <v>0</v>
      </c>
      <c r="M24" s="26">
        <f>'附件3 规划内'!M249</f>
        <v>44470</v>
      </c>
      <c r="N24" s="26">
        <f>'附件3 规划内'!N249</f>
        <v>44531</v>
      </c>
      <c r="O24" t="str">
        <f>'附件3 规划内'!O249</f>
        <v>市卫生健康委</v>
      </c>
      <c r="P24" t="str">
        <f>'附件3 规划内'!P249</f>
        <v>市本级</v>
      </c>
      <c r="Q24">
        <f>'附件3 规划内'!Q249</f>
        <v>0</v>
      </c>
      <c r="R24" t="str">
        <f>'附件3 规划内'!R249</f>
        <v>2021年已完工</v>
      </c>
      <c r="T24">
        <f>'附件4 规划外'!A101</f>
        <v>112</v>
      </c>
      <c r="U24" t="str">
        <f>'附件4 规划外'!B101</f>
        <v>开封市传染病医院迁建项目</v>
      </c>
      <c r="V24" t="str">
        <f>'附件4 规划外'!C101</f>
        <v>卫生健康</v>
      </c>
      <c r="W24" t="str">
        <f>'附件4 规划外'!D101</f>
        <v>总建筑面积4.1万平方米，主要建设内容为医疗综合楼、行政办公楼等建筑，设计开放床位500张。</v>
      </c>
      <c r="X24">
        <f>'附件4 规划外'!E101</f>
        <v>21984</v>
      </c>
      <c r="Y24">
        <f>'附件4 规划外'!F101</f>
        <v>10615</v>
      </c>
      <c r="Z24">
        <f>'附件4 规划外'!G101</f>
        <v>3000</v>
      </c>
      <c r="AA24">
        <f>'附件4 规划外'!H101</f>
        <v>8369</v>
      </c>
      <c r="AB24" t="str">
        <f>'附件4 规划外'!I101</f>
        <v>在建</v>
      </c>
      <c r="AC24">
        <f>'附件4 规划外'!J101</f>
        <v>14575</v>
      </c>
      <c r="AD24">
        <f>'附件4 规划外'!K101</f>
        <v>3960</v>
      </c>
      <c r="AE24" t="str">
        <f>'附件4 规划外'!L101</f>
        <v>坡道外墙回填土完成，医技综合楼外墙粉刷正在进行，艾滋病房楼砌体施工正在进行，直燃机房及污水处理站开始砌筑，地下车库放线完成</v>
      </c>
      <c r="AF24" s="26">
        <f>'附件4 规划外'!M101</f>
        <v>43952</v>
      </c>
      <c r="AG24" s="26">
        <f>'附件4 规划外'!N101</f>
        <v>45139</v>
      </c>
      <c r="AH24" t="str">
        <f>'附件4 规划外'!O101</f>
        <v>市卫生健康委</v>
      </c>
      <c r="AI24" t="str">
        <f>'附件4 规划外'!P101</f>
        <v>市本级</v>
      </c>
      <c r="AJ24">
        <f>'附件4 规划外'!Q101</f>
        <v>0</v>
      </c>
      <c r="AK24">
        <f>'附件4 规划外'!R101</f>
        <v>0</v>
      </c>
    </row>
    <row r="25" spans="1:37">
      <c r="A25">
        <f>'附件3 规划内'!A250</f>
        <v>231</v>
      </c>
      <c r="B25" t="str">
        <f>'附件3 规划内'!B250</f>
        <v>开封市人民医院灾后恢复重建项目</v>
      </c>
      <c r="C25" t="str">
        <f>'附件3 规划内'!C250</f>
        <v>卫生健康</v>
      </c>
      <c r="D25" t="str">
        <f>'附件3 规划内'!D250</f>
        <v>重建或恢复屋顶约1000㎡，外墙约2000㎡。</v>
      </c>
      <c r="E25">
        <f>'附件3 规划内'!E250</f>
        <v>150</v>
      </c>
      <c r="F25">
        <f>'附件3 规划内'!F250</f>
        <v>150</v>
      </c>
      <c r="G25">
        <f>'附件3 规划内'!G250</f>
        <v>0</v>
      </c>
      <c r="H25">
        <f>'附件3 规划内'!H250</f>
        <v>0</v>
      </c>
      <c r="I25" t="str">
        <f>'附件3 规划内'!I250</f>
        <v>完工</v>
      </c>
      <c r="J25">
        <f>'附件3 规划内'!J250</f>
        <v>150</v>
      </c>
      <c r="K25" t="str">
        <f>'附件3 规划内'!K250</f>
        <v/>
      </c>
      <c r="L25">
        <f>'附件3 规划内'!L250</f>
        <v>0</v>
      </c>
      <c r="M25" s="26">
        <f>'附件3 规划内'!M250</f>
        <v>44470</v>
      </c>
      <c r="N25" s="26">
        <f>'附件3 规划内'!N250</f>
        <v>44531</v>
      </c>
      <c r="O25" t="str">
        <f>'附件3 规划内'!O250</f>
        <v>市卫生健康委</v>
      </c>
      <c r="P25" t="str">
        <f>'附件3 规划内'!P250</f>
        <v>市本级</v>
      </c>
      <c r="Q25">
        <f>'附件3 规划内'!Q250</f>
        <v>0</v>
      </c>
      <c r="R25" t="str">
        <f>'附件3 规划内'!R250</f>
        <v>2021年已完工</v>
      </c>
      <c r="T25">
        <f>'附件4 规划外'!A102</f>
        <v>113</v>
      </c>
      <c r="U25" t="str">
        <f>'附件4 规划外'!B102</f>
        <v>开封市中医院国家中医药传承创新工程项目</v>
      </c>
      <c r="V25" t="str">
        <f>'附件4 规划外'!C102</f>
        <v>卫生健康</v>
      </c>
      <c r="W25" t="str">
        <f>'附件4 规划外'!D102</f>
        <v>总建筑面积为3.72万平方米，建设主要内容为医疗业务用房，中医药制剂楼医疗辅助用房，科研用房，临床教学用房。</v>
      </c>
      <c r="X25">
        <f>'附件4 规划外'!E102</f>
        <v>18000</v>
      </c>
      <c r="Y25">
        <f>'附件4 规划外'!F102</f>
        <v>9739</v>
      </c>
      <c r="Z25">
        <f>'附件4 规划外'!G102</f>
        <v>8261</v>
      </c>
      <c r="AA25">
        <f>'附件4 规划外'!H102</f>
        <v>0</v>
      </c>
      <c r="AB25" t="str">
        <f>'附件4 规划外'!I102</f>
        <v>在建</v>
      </c>
      <c r="AC25">
        <f>'附件4 规划外'!J102</f>
        <v>17370</v>
      </c>
      <c r="AD25">
        <f>'附件4 规划外'!K102</f>
        <v>7631</v>
      </c>
      <c r="AE25" t="str">
        <f>'附件4 规划外'!L102</f>
        <v>已经完成A区六层底板混凝土浇筑，C区六层底板钢筋绑扎，B区六层顶板模板安装；正进行基坑回填施工和地下室外墙防水施工</v>
      </c>
      <c r="AF25" s="26">
        <f>'附件4 规划外'!M102</f>
        <v>43952</v>
      </c>
      <c r="AG25" s="26">
        <f>'附件4 规划外'!N102</f>
        <v>44896</v>
      </c>
      <c r="AH25" t="str">
        <f>'附件4 规划外'!O102</f>
        <v>市卫生健康委</v>
      </c>
      <c r="AI25" t="str">
        <f>'附件4 规划外'!P102</f>
        <v>市本级</v>
      </c>
      <c r="AJ25">
        <f>'附件4 规划外'!Q102</f>
        <v>0</v>
      </c>
      <c r="AK25">
        <f>'附件4 规划外'!R102</f>
        <v>0</v>
      </c>
    </row>
    <row r="26" spans="1:37">
      <c r="A26">
        <f>'附件3 规划内'!A251</f>
        <v>232</v>
      </c>
      <c r="B26" t="str">
        <f>'附件3 规划内'!B251</f>
        <v>开封市儿童医院损毁重建项目</v>
      </c>
      <c r="C26" t="str">
        <f>'附件3 规划内'!C251</f>
        <v>卫生健康</v>
      </c>
      <c r="D26" t="str">
        <f>'附件3 规划内'!D251</f>
        <v>楼体加固总建筑面积10518㎡，坡道断裂修建面积180㎡，屋顶漏水维修面积1181㎡。</v>
      </c>
      <c r="E26">
        <f>'附件3 规划内'!E251</f>
        <v>150</v>
      </c>
      <c r="F26">
        <f>'附件3 规划内'!F251</f>
        <v>150</v>
      </c>
      <c r="G26">
        <f>'附件3 规划内'!G251</f>
        <v>0</v>
      </c>
      <c r="H26">
        <f>'附件3 规划内'!H251</f>
        <v>0</v>
      </c>
      <c r="I26" t="str">
        <f>'附件3 规划内'!I251</f>
        <v>完工</v>
      </c>
      <c r="J26">
        <f>'附件3 规划内'!J251</f>
        <v>150</v>
      </c>
      <c r="K26" t="str">
        <f>'附件3 规划内'!K251</f>
        <v/>
      </c>
      <c r="L26">
        <f>'附件3 规划内'!L251</f>
        <v>0</v>
      </c>
      <c r="M26" s="26">
        <f>'附件3 规划内'!M251</f>
        <v>44470</v>
      </c>
      <c r="N26" s="26">
        <f>'附件3 规划内'!N251</f>
        <v>44531</v>
      </c>
      <c r="O26" t="str">
        <f>'附件3 规划内'!O251</f>
        <v>市卫生健康委</v>
      </c>
      <c r="P26" t="str">
        <f>'附件3 规划内'!P251</f>
        <v>市本级</v>
      </c>
      <c r="Q26">
        <f>'附件3 规划内'!Q251</f>
        <v>0</v>
      </c>
      <c r="R26" t="str">
        <f>'附件3 规划内'!R251</f>
        <v>2021年已完工</v>
      </c>
      <c r="T26">
        <f>'附件4 规划外'!A103</f>
        <v>114</v>
      </c>
      <c r="U26" t="str">
        <f>'附件4 规划外'!B103</f>
        <v>开封市人民医院综合病房楼项目</v>
      </c>
      <c r="V26" t="str">
        <f>'附件4 规划外'!C103</f>
        <v>卫生健康</v>
      </c>
      <c r="W26" t="str">
        <f>'附件4 规划外'!D103</f>
        <v>总建筑面积2.07万平方米，建设主要内容为住院病房及办公用房，设计病床250张，设计地下二层为机房及人防区域。</v>
      </c>
      <c r="X26">
        <f>'附件4 规划外'!E103</f>
        <v>12600</v>
      </c>
      <c r="Y26">
        <f>'附件4 规划外'!F103</f>
        <v>6300</v>
      </c>
      <c r="Z26">
        <f>'附件4 规划外'!G103</f>
        <v>6300</v>
      </c>
      <c r="AA26">
        <f>'附件4 规划外'!H103</f>
        <v>0</v>
      </c>
      <c r="AB26" t="str">
        <f>'附件4 规划外'!I103</f>
        <v>完工</v>
      </c>
      <c r="AC26">
        <f>'附件4 规划外'!J103</f>
        <v>12600</v>
      </c>
      <c r="AD26">
        <f>'附件4 规划外'!K103</f>
        <v>6300</v>
      </c>
      <c r="AE26" t="str">
        <f>'附件4 规划外'!L103</f>
        <v>病房、走廊、办公区墙面板、吊顶安装进行中。病房、办公区门加工定做中，弱电穿线已完成。</v>
      </c>
      <c r="AF26" s="26">
        <f>'附件4 规划外'!M103</f>
        <v>43952</v>
      </c>
      <c r="AG26" s="26">
        <f>'附件4 规划外'!N103</f>
        <v>44774</v>
      </c>
      <c r="AH26" t="str">
        <f>'附件4 规划外'!O103</f>
        <v>市卫生健康委</v>
      </c>
      <c r="AI26" t="str">
        <f>'附件4 规划外'!P103</f>
        <v>市本级</v>
      </c>
      <c r="AJ26">
        <f>'附件4 规划外'!Q103</f>
        <v>0</v>
      </c>
      <c r="AK26">
        <f>'附件4 规划外'!R103</f>
        <v>0</v>
      </c>
    </row>
    <row r="27" spans="20:37">
      <c r="T27" s="27" t="str">
        <f>'附件4 规划外'!A104</f>
        <v>115-116</v>
      </c>
      <c r="U27" s="27" t="str">
        <f>'附件4 规划外'!B104</f>
        <v>开封市第二中医院建设项目</v>
      </c>
      <c r="V27" s="27" t="str">
        <f>'附件4 规划外'!C104</f>
        <v>卫生健康</v>
      </c>
      <c r="W27" s="27" t="str">
        <f>'附件4 规划外'!D104</f>
        <v>1、河南省区域中医骨伤科诊疗中心项目：位于开封市第二中医院院内，由市第二中医院负责实施，采购相关设备 23 台/套，装修与局部建筑改造面积 600㎡。
2、市第二中医院扩建项目建筑面积为2.12万平方米，主要建设内容为门诊病房综合楼，设置床位392张。</v>
      </c>
      <c r="X27" s="27">
        <f>'附件4 规划外'!E104</f>
        <v>21133.3</v>
      </c>
      <c r="Y27" s="27">
        <f>'附件4 规划外'!F104</f>
        <v>5870</v>
      </c>
      <c r="Z27" s="27">
        <f>'附件4 规划外'!G104</f>
        <v>8600</v>
      </c>
      <c r="AA27" s="27">
        <f>'附件4 规划外'!H104</f>
        <v>6663.3</v>
      </c>
      <c r="AB27" s="27" t="str">
        <f>'附件4 规划外'!I104</f>
        <v>在建</v>
      </c>
      <c r="AC27" s="27">
        <f>'附件4 规划外'!J104</f>
        <v>15876</v>
      </c>
      <c r="AD27" s="27">
        <f>'附件4 规划外'!K104</f>
        <v>10006</v>
      </c>
      <c r="AE27" s="27" t="str">
        <f>'附件4 规划外'!L104</f>
        <v>6层主体施工完成，7层主体施工正在进行</v>
      </c>
      <c r="AF27" s="28">
        <f>'附件4 规划外'!M104</f>
        <v>44317</v>
      </c>
      <c r="AG27" s="28">
        <f>'附件4 规划外'!N104</f>
        <v>45139</v>
      </c>
      <c r="AH27" s="27" t="str">
        <f>'附件4 规划外'!O104</f>
        <v>市卫生健康委</v>
      </c>
      <c r="AI27" s="27" t="str">
        <f>'附件4 规划外'!P104</f>
        <v>市本级</v>
      </c>
      <c r="AJ27" s="27">
        <f>'附件4 规划外'!Q104</f>
        <v>0</v>
      </c>
      <c r="AK27" s="27">
        <f>'附件4 规划外'!R104</f>
        <v>0</v>
      </c>
    </row>
    <row r="28" spans="20:37">
      <c r="T28">
        <f>'附件4 规划外'!A105</f>
        <v>117</v>
      </c>
      <c r="U28" t="str">
        <f>'附件4 规划外'!B105</f>
        <v>开封市妇幼保健院东院区建设项目</v>
      </c>
      <c r="V28" t="str">
        <f>'附件4 规划外'!C105</f>
        <v>卫生健康</v>
      </c>
      <c r="W28" t="str">
        <f>'附件4 规划外'!D105</f>
        <v>总建筑面积为3.4万平方米，主要建设急诊医技和病房综合楼1栋，同时完善院区的其他配套设施等。</v>
      </c>
      <c r="X28">
        <f>'附件4 规划外'!E105</f>
        <v>16500</v>
      </c>
      <c r="Y28">
        <f>'附件4 规划外'!F105</f>
        <v>6000</v>
      </c>
      <c r="Z28">
        <f>'附件4 规划外'!G105</f>
        <v>5000</v>
      </c>
      <c r="AA28">
        <f>'附件4 规划外'!H105</f>
        <v>5500</v>
      </c>
      <c r="AB28" t="str">
        <f>'附件4 规划外'!I105</f>
        <v>在建</v>
      </c>
      <c r="AC28">
        <f>'附件4 规划外'!J105</f>
        <v>11050</v>
      </c>
      <c r="AD28">
        <f>'附件4 规划外'!K105</f>
        <v>5050</v>
      </c>
      <c r="AE28" t="str">
        <f>'附件4 规划外'!L105</f>
        <v>基坑东侧垫层施工完成，防水层施工完成。</v>
      </c>
      <c r="AF28" s="26">
        <f>'附件4 规划外'!M105</f>
        <v>44197</v>
      </c>
      <c r="AG28" s="26">
        <f>'附件4 规划外'!N105</f>
        <v>45139</v>
      </c>
      <c r="AH28" t="str">
        <f>'附件4 规划外'!O105</f>
        <v>市卫生健康委</v>
      </c>
      <c r="AI28" t="str">
        <f>'附件4 规划外'!P105</f>
        <v>市本级</v>
      </c>
      <c r="AJ28">
        <f>'附件4 规划外'!Q105</f>
        <v>0</v>
      </c>
      <c r="AK28">
        <f>'附件4 规划外'!R105</f>
        <v>0</v>
      </c>
    </row>
    <row r="29" spans="20:37">
      <c r="T29">
        <f>'附件4 规划外'!A106</f>
        <v>118</v>
      </c>
      <c r="U29" t="str">
        <f>'附件4 规划外'!B106</f>
        <v>开封市疾控中心迁建项目</v>
      </c>
      <c r="V29" t="str">
        <f>'附件4 规划外'!C106</f>
        <v>卫生健康</v>
      </c>
      <c r="W29" t="str">
        <f>'附件4 规划外'!D106</f>
        <v>项目位于十一大街与金耀路交叉口东南角，规划建筑总面积约1.82万平方米，主要建设内容为实验楼、业务综合楼和地下配套工程。</v>
      </c>
      <c r="X29">
        <f>'附件4 规划外'!E106</f>
        <v>12500</v>
      </c>
      <c r="Y29">
        <f>'附件4 规划外'!F106</f>
        <v>0</v>
      </c>
      <c r="Z29">
        <f>'附件4 规划外'!G106</f>
        <v>7500</v>
      </c>
      <c r="AA29">
        <f>'附件4 规划外'!H106</f>
        <v>5000</v>
      </c>
      <c r="AB29" t="str">
        <f>'附件4 规划外'!I106</f>
        <v>在建</v>
      </c>
      <c r="AC29">
        <f>'附件4 规划外'!J106</f>
        <v>3840</v>
      </c>
      <c r="AD29">
        <f>'附件4 规划外'!K106</f>
        <v>3840</v>
      </c>
      <c r="AE29" t="str">
        <f>'附件4 规划外'!L106</f>
        <v>项目工程规划许可进行现场公示，取得市生态环境局环境影响报告书批复，项目造价竞争性磋商进行开标</v>
      </c>
      <c r="AF29" s="26">
        <f>'附件4 规划外'!M106</f>
        <v>44774</v>
      </c>
      <c r="AG29" s="26">
        <f>'附件4 规划外'!N106</f>
        <v>45505</v>
      </c>
      <c r="AH29" t="str">
        <f>'附件4 规划外'!O106</f>
        <v>市卫生健康委</v>
      </c>
      <c r="AI29" t="str">
        <f>'附件4 规划外'!P106</f>
        <v>市本级</v>
      </c>
      <c r="AJ29">
        <f>'附件4 规划外'!Q106</f>
        <v>0</v>
      </c>
      <c r="AK29">
        <f>'附件4 规划外'!R106</f>
        <v>0</v>
      </c>
    </row>
    <row r="30" spans="20:37">
      <c r="T30" s="27" t="str">
        <f>'附件4 规划外'!A107</f>
        <v>119-120</v>
      </c>
      <c r="U30" s="27" t="str">
        <f>'附件4 规划外'!B107</f>
        <v>开封市陇海医院建设项目</v>
      </c>
      <c r="V30" s="27" t="str">
        <f>'附件4 规划外'!C107</f>
        <v>卫生健康</v>
      </c>
      <c r="W30" s="27" t="str">
        <f>'附件4 规划外'!D107</f>
        <v>1、市陇海医院医养结合养护楼项目：建筑面积约6500平方米，主要建设内容为地下车库及储物间，地上养护病房，设置床位200张。
2、对外科及康复科病房楼项目：进行装修改造升级和购买设备，装修面积4000平方米。</v>
      </c>
      <c r="X30" s="27">
        <f>'附件4 规划外'!E107</f>
        <v>4600</v>
      </c>
      <c r="Y30" s="27">
        <f>'附件4 规划外'!F107</f>
        <v>0</v>
      </c>
      <c r="Z30" s="27">
        <f>'附件4 规划外'!G107</f>
        <v>4600</v>
      </c>
      <c r="AA30" s="27">
        <f>'附件4 规划外'!H107</f>
        <v>0</v>
      </c>
      <c r="AB30" s="27" t="str">
        <f>'附件4 规划外'!I107</f>
        <v>在建</v>
      </c>
      <c r="AC30" s="27">
        <f>'附件4 规划外'!J107</f>
        <v>3728</v>
      </c>
      <c r="AD30" s="27">
        <f>'附件4 规划外'!K107</f>
        <v>3728</v>
      </c>
      <c r="AE30" s="27" t="str">
        <f>'附件4 规划外'!L107</f>
        <v>水泥土搅拌桩已完成，正在进行清槽工作，抗浮锚杆和边坡支护喷浆施工正在进行</v>
      </c>
      <c r="AF30" s="28">
        <f>'附件4 规划外'!M107</f>
        <v>44531</v>
      </c>
      <c r="AG30" s="28">
        <f>'附件4 规划外'!N107</f>
        <v>44896</v>
      </c>
      <c r="AH30" s="27" t="str">
        <f>'附件4 规划外'!O107</f>
        <v>市卫生健康委</v>
      </c>
      <c r="AI30" s="27" t="str">
        <f>'附件4 规划外'!P107</f>
        <v>市本级</v>
      </c>
      <c r="AJ30" s="27">
        <f>'附件4 规划外'!Q107</f>
        <v>0</v>
      </c>
      <c r="AK30" s="27">
        <f>'附件4 规划外'!R107</f>
        <v>0</v>
      </c>
    </row>
    <row r="31" spans="20:37">
      <c r="T31">
        <f>'附件4 规划外'!A108</f>
        <v>121</v>
      </c>
      <c r="U31" t="str">
        <f>'附件4 规划外'!B108</f>
        <v>开封市儿童医院门诊医技楼、病房楼配套附属设施项目</v>
      </c>
      <c r="V31" t="str">
        <f>'附件4 规划外'!C108</f>
        <v>卫生健康</v>
      </c>
      <c r="W31" t="str">
        <f>'附件4 规划外'!D108</f>
        <v>建设内容包括门诊医技楼、病房楼配套附属设施等。</v>
      </c>
      <c r="X31">
        <f>'附件4 规划外'!E108</f>
        <v>7590.1</v>
      </c>
      <c r="Y31">
        <f>'附件4 规划外'!F108</f>
        <v>1373</v>
      </c>
      <c r="Z31">
        <f>'附件4 规划外'!G108</f>
        <v>4650</v>
      </c>
      <c r="AA31">
        <f>'附件4 规划外'!H108</f>
        <v>1567.1</v>
      </c>
      <c r="AB31" t="str">
        <f>'附件4 规划外'!I108</f>
        <v>在建</v>
      </c>
      <c r="AC31">
        <f>'附件4 规划外'!J108</f>
        <v>5903</v>
      </c>
      <c r="AD31">
        <f>'附件4 规划外'!K108</f>
        <v>4530</v>
      </c>
      <c r="AE31" t="str">
        <f>'附件4 规划外'!L108</f>
        <v>人防停车场建设基本完工，室外路面完成硬化，污水处理项目竣工结算已上报财政局评审，电梯安装完工，精装修大包工程招标控制价初审结果财政局已出，目前正在进行核对。</v>
      </c>
      <c r="AF31" s="26">
        <f>'附件4 规划外'!M108</f>
        <v>44470</v>
      </c>
      <c r="AG31" s="26">
        <f>'附件4 规划外'!N108</f>
        <v>45078</v>
      </c>
      <c r="AH31" t="str">
        <f>'附件4 规划外'!O108</f>
        <v>市卫生健康委</v>
      </c>
      <c r="AI31" t="str">
        <f>'附件4 规划外'!P108</f>
        <v>市本级</v>
      </c>
      <c r="AJ31">
        <f>'附件4 规划外'!Q108</f>
        <v>0</v>
      </c>
      <c r="AK31">
        <f>'附件4 规划外'!R108</f>
        <v>0</v>
      </c>
    </row>
    <row r="32" spans="20:37">
      <c r="T32">
        <f>'附件4 规划外'!A109</f>
        <v>122</v>
      </c>
      <c r="U32" t="str">
        <f>'附件4 规划外'!B109</f>
        <v>开封市中心医院眼病区域医疗中心建设项目</v>
      </c>
      <c r="V32" t="str">
        <f>'附件4 规划外'!C109</f>
        <v>卫生健康</v>
      </c>
      <c r="W32" t="str">
        <f>'附件4 规划外'!D109</f>
        <v>项目建设内容包括设备采购、层流手术室和消毒供应中心设备设施建设及诊疗服务网络中心建设等。</v>
      </c>
      <c r="X32">
        <f>'附件4 规划外'!E109</f>
        <v>4660</v>
      </c>
      <c r="Y32">
        <f>'附件4 规划外'!F109</f>
        <v>3238.46</v>
      </c>
      <c r="Z32">
        <f>'附件4 规划外'!G109</f>
        <v>1421.54</v>
      </c>
      <c r="AA32">
        <f>'附件4 规划外'!H109</f>
        <v>0</v>
      </c>
      <c r="AB32" t="str">
        <f>'附件4 规划外'!I109</f>
        <v>完工</v>
      </c>
      <c r="AC32">
        <f>'附件4 规划外'!J109</f>
        <v>4660</v>
      </c>
      <c r="AD32">
        <f>'附件4 规划外'!K109</f>
        <v>1421.54</v>
      </c>
      <c r="AE32" t="str">
        <f>'附件4 规划外'!L109</f>
        <v>部分设备已完成招标采购，投入使用；消毒供应中心已完成建设，投入使用；层流手术室及网络信息化正在建设中。</v>
      </c>
      <c r="AF32" s="26">
        <f>'附件4 规划外'!M109</f>
        <v>43617</v>
      </c>
      <c r="AG32" s="26">
        <f>'附件4 规划外'!N109</f>
        <v>44896</v>
      </c>
      <c r="AH32" t="str">
        <f>'附件4 规划外'!O109</f>
        <v>市卫生健康委</v>
      </c>
      <c r="AI32" t="str">
        <f>'附件4 规划外'!P109</f>
        <v>市本级</v>
      </c>
      <c r="AJ32">
        <f>'附件4 规划外'!Q109</f>
        <v>0</v>
      </c>
      <c r="AK32">
        <f>'附件4 规划外'!R109</f>
        <v>0</v>
      </c>
    </row>
    <row r="33" spans="20:37">
      <c r="T33">
        <f>'附件4 规划外'!A110</f>
        <v>123</v>
      </c>
      <c r="U33" t="str">
        <f>'附件4 规划外'!B110</f>
        <v>开封市人民医院皮肤病区域医疗中心建设项目</v>
      </c>
      <c r="V33" t="str">
        <f>'附件4 规划外'!C110</f>
        <v>卫生健康</v>
      </c>
      <c r="W33" t="str">
        <f>'附件4 规划外'!D110</f>
        <v>建设内容包括皮肤影像与诊断设备、皮肤病治疗设备、病理科相关设备、皮肤重症医学设备的采购及安装等。</v>
      </c>
      <c r="X33">
        <f>'附件4 规划外'!E110</f>
        <v>3273</v>
      </c>
      <c r="Y33">
        <f>'附件4 规划外'!F110</f>
        <v>1000</v>
      </c>
      <c r="Z33">
        <f>'附件4 规划外'!G110</f>
        <v>2273</v>
      </c>
      <c r="AA33">
        <f>'附件4 规划外'!H110</f>
        <v>0</v>
      </c>
      <c r="AB33" t="str">
        <f>'附件4 规划外'!I110</f>
        <v>在建</v>
      </c>
      <c r="AC33">
        <f>'附件4 规划外'!J110</f>
        <v>3200</v>
      </c>
      <c r="AD33">
        <f>'附件4 规划外'!K110</f>
        <v>2200</v>
      </c>
      <c r="AE33" t="str">
        <f>'附件4 规划外'!L110</f>
        <v>荧光显微镜、呼吸机、彩色多普勒超声诊断仪已安装完毕，符合付款条件的正在办理付款手续。其余设备仍在运输过程中。</v>
      </c>
      <c r="AF33" s="26" t="str">
        <f>'附件4 规划外'!M110</f>
        <v>2021年5月</v>
      </c>
      <c r="AG33" s="26">
        <f>'附件4 规划外'!N110</f>
        <v>44926</v>
      </c>
      <c r="AH33" t="str">
        <f>'附件4 规划外'!O110</f>
        <v>市卫生健康委</v>
      </c>
      <c r="AI33" t="str">
        <f>'附件4 规划外'!P110</f>
        <v>市本级</v>
      </c>
      <c r="AJ33">
        <f>'附件4 规划外'!Q110</f>
        <v>0</v>
      </c>
      <c r="AK33">
        <f>'附件4 规划外'!R110</f>
        <v>0</v>
      </c>
    </row>
    <row r="34" spans="20:37">
      <c r="T34">
        <f>'附件4 规划外'!A112</f>
        <v>125</v>
      </c>
      <c r="U34" t="str">
        <f>'附件4 规划外'!B112</f>
        <v>开封市图书馆灾后修复项目</v>
      </c>
      <c r="V34" t="str">
        <f>'附件4 规划外'!C112</f>
        <v>公共文化</v>
      </c>
      <c r="W34" t="str">
        <f>'附件4 规划外'!D112</f>
        <v>项目主要包含城市书房整修提升，包括线路整修、墙体粉刷，漏雨修复提升，设备的更换（高频安全门、高频自助借还机、自助办证机等）、书籍的更换更新，涉及寻宋书房、青霞书房、禹见书房、开元书房等城市书房。</v>
      </c>
      <c r="X34">
        <f>'附件4 规划外'!E112</f>
        <v>323</v>
      </c>
      <c r="Y34">
        <f>'附件4 规划外'!F112</f>
        <v>0</v>
      </c>
      <c r="Z34">
        <f>'附件4 规划外'!G112</f>
        <v>323</v>
      </c>
      <c r="AA34">
        <f>'附件4 规划外'!H112</f>
        <v>0</v>
      </c>
      <c r="AB34" t="str">
        <f>'附件4 规划外'!I112</f>
        <v>完工</v>
      </c>
      <c r="AC34">
        <f>'附件4 规划外'!J112</f>
        <v>323</v>
      </c>
      <c r="AD34">
        <f>'附件4 规划外'!K112</f>
        <v>323</v>
      </c>
      <c r="AE34" t="str">
        <f>'附件4 规划外'!L112</f>
        <v>青霞书房完成了房屋的线路改造、墙体粉刷、书架书籍的更换，以及高频安全门、高频自助借还E型、自助办证E型、自助还书箱等设备的更新更换，更新图书4390册；禹见书房完成了房屋整修，自助借还设备的添置，并更新图书2629册；寻宋书房完成了房屋的线路整修、书架更换、图书更新；开元书房、宣和书房、朝曦书房等书房也均完成了房屋的维修提升、设备的更换、书籍更新。</v>
      </c>
      <c r="AF34" s="26">
        <f>'附件4 规划外'!M112</f>
        <v>44440</v>
      </c>
      <c r="AG34" s="26">
        <f>'附件4 规划外'!N112</f>
        <v>44742</v>
      </c>
      <c r="AH34" t="str">
        <f>'附件4 规划外'!O112</f>
        <v>市文化广电旅游局</v>
      </c>
      <c r="AI34" t="str">
        <f>'附件4 规划外'!P112</f>
        <v>市本级</v>
      </c>
      <c r="AJ34">
        <f>'附件4 规划外'!Q112</f>
        <v>0</v>
      </c>
      <c r="AK34">
        <f>'附件4 规划外'!R112</f>
        <v>0</v>
      </c>
    </row>
    <row r="35" spans="20:37">
      <c r="T35">
        <f>'附件4 规划外'!A195</f>
        <v>208</v>
      </c>
      <c r="U35" t="str">
        <f>'附件4 规划外'!B195</f>
        <v>开封市集中式饮用水水源地规范化建设修复项目</v>
      </c>
      <c r="V35" t="str">
        <f>'附件4 规划外'!C195</f>
        <v>生态环境</v>
      </c>
      <c r="W35" t="str">
        <f>'附件4 规划外'!D195</f>
        <v>开封市集中式饮用水水源地规范化建设项目前端设备建设在开封市黑池、柳池岸边，由于7月20日特大洪水引起坍塌，造成岸边十五路视频监控设备损坏，（包含摄像机、网桥、太阳能设备、防雷器、维修人工费等）共损失 26.28万元。</v>
      </c>
      <c r="X35">
        <f>'附件4 规划外'!E195</f>
        <v>26.28</v>
      </c>
      <c r="Y35">
        <f>'附件4 规划外'!F195</f>
        <v>26.28</v>
      </c>
      <c r="Z35">
        <f>'附件4 规划外'!G195</f>
        <v>0</v>
      </c>
      <c r="AA35">
        <f>'附件4 规划外'!H195</f>
        <v>0</v>
      </c>
      <c r="AB35" t="str">
        <f>'附件4 规划外'!I195</f>
        <v>完工</v>
      </c>
      <c r="AC35">
        <f>'附件4 规划外'!J195</f>
        <v>26.28</v>
      </c>
      <c r="AD35" t="str">
        <f>'附件4 规划外'!K195</f>
        <v/>
      </c>
      <c r="AE35" t="str">
        <f>'附件4 规划外'!L195</f>
        <v>项目运维公司已自行修复。</v>
      </c>
      <c r="AF35" t="str">
        <f>'附件4 规划外'!M195</f>
        <v>竣工</v>
      </c>
      <c r="AG35" t="str">
        <f>'附件4 规划外'!N195</f>
        <v>竣工</v>
      </c>
      <c r="AH35" t="str">
        <f>'附件4 规划外'!O195</f>
        <v>市生态环境局</v>
      </c>
      <c r="AI35" t="str">
        <f>'附件4 规划外'!P195</f>
        <v>市本级</v>
      </c>
      <c r="AJ35">
        <f>'附件4 规划外'!Q195</f>
        <v>0</v>
      </c>
      <c r="AK35">
        <f>'附件4 规划外'!R195</f>
        <v>0</v>
      </c>
    </row>
    <row r="36" spans="20:37">
      <c r="T36">
        <f>'附件4 规划外'!A196</f>
        <v>209</v>
      </c>
      <c r="U36" t="str">
        <f>'附件4 规划外'!B196</f>
        <v>开封市黑岗口引黄灌区续建配态与节水改造项目</v>
      </c>
      <c r="V36" t="str">
        <f>'附件4 规划外'!C196</f>
        <v>其他</v>
      </c>
      <c r="W36" t="str">
        <f>'附件4 规划外'!D196</f>
        <v>渠道衬砌4条15.319km，沟渠清淤疏浚4条16.467km，配套建筑物81座，配套量测水设施22套。</v>
      </c>
      <c r="X36">
        <f>'附件4 规划外'!E196</f>
        <v>5897</v>
      </c>
      <c r="Y36">
        <f>'附件4 规划外'!F196</f>
        <v>0</v>
      </c>
      <c r="Z36">
        <f>'附件4 规划外'!G196</f>
        <v>4718</v>
      </c>
      <c r="AA36">
        <f>'附件4 规划外'!H196</f>
        <v>0</v>
      </c>
      <c r="AB36" t="str">
        <f>'附件4 规划外'!I196</f>
        <v>在建</v>
      </c>
      <c r="AC36">
        <f>'附件4 规划外'!J196</f>
        <v>5000</v>
      </c>
      <c r="AD36">
        <f>'附件4 规划外'!K196</f>
        <v>5000</v>
      </c>
      <c r="AE36">
        <f>'附件4 规划外'!L196</f>
        <v>0</v>
      </c>
      <c r="AF36">
        <f>'附件4 规划外'!M196</f>
        <v>44652</v>
      </c>
      <c r="AG36">
        <f>'附件4 规划外'!N196</f>
        <v>44896</v>
      </c>
      <c r="AH36" t="str">
        <f>'附件4 规划外'!O196</f>
        <v>市水利局</v>
      </c>
      <c r="AI36" t="str">
        <f>'附件4 规划外'!P196</f>
        <v>市本级</v>
      </c>
      <c r="AJ36">
        <f>'附件4 规划外'!Q196</f>
        <v>0</v>
      </c>
      <c r="AK36">
        <f>'附件4 规划外'!R196</f>
        <v>0</v>
      </c>
    </row>
    <row r="37" spans="20:37">
      <c r="T37">
        <f>'附件4 规划外'!A208</f>
        <v>221</v>
      </c>
      <c r="U37" t="str">
        <f>'附件4 规划外'!B208</f>
        <v>开封市农村饮水工程维修养护</v>
      </c>
      <c r="V37" t="str">
        <f>'附件4 规划外'!C208</f>
        <v>其他</v>
      </c>
      <c r="W37" t="str">
        <f>'附件4 规划外'!D208</f>
        <v>管网改造共计3505m，过桥钢管54m，更换阀门223个,更换水表92块，水源井井台维修工程7处，滤砂罐基础重砌1处，更换SPF37kw变频器1台，更换次氯酸钠发生器100型7套等</v>
      </c>
      <c r="X37">
        <f>'附件4 规划外'!E208</f>
        <v>141</v>
      </c>
      <c r="Y37">
        <f>'附件4 规划外'!F208</f>
        <v>0</v>
      </c>
      <c r="Z37">
        <f>'附件4 规划外'!G208</f>
        <v>141</v>
      </c>
      <c r="AA37">
        <f>'附件4 规划外'!H208</f>
        <v>0</v>
      </c>
      <c r="AB37" t="str">
        <f>'附件4 规划外'!I208</f>
        <v>完工</v>
      </c>
      <c r="AC37">
        <f>'附件4 规划外'!J208</f>
        <v>141</v>
      </c>
      <c r="AD37">
        <f>'附件4 规划外'!K208</f>
        <v>141</v>
      </c>
      <c r="AE37">
        <f>'附件4 规划外'!L208</f>
        <v>0</v>
      </c>
      <c r="AF37">
        <f>'附件4 规划外'!M208</f>
        <v>44682</v>
      </c>
      <c r="AG37">
        <f>'附件4 规划外'!N208</f>
        <v>44713</v>
      </c>
      <c r="AH37" t="str">
        <f>'附件4 规划外'!O208</f>
        <v>市水利局</v>
      </c>
      <c r="AI37" t="str">
        <f>'附件4 规划外'!P208</f>
        <v>市本级</v>
      </c>
      <c r="AJ37">
        <f>'附件4 规划外'!Q208</f>
        <v>0</v>
      </c>
      <c r="AK37">
        <f>'附件4 规划外'!R208</f>
        <v>0</v>
      </c>
    </row>
    <row r="38" spans="20:37">
      <c r="T38">
        <f>'附件4 规划外'!A215</f>
        <v>229</v>
      </c>
      <c r="U38" t="str">
        <f>'附件4 规划外'!B215</f>
        <v>新增开封市街道（社区）综合养老服务中心项目</v>
      </c>
      <c r="V38" t="str">
        <f>'附件4 规划外'!C215</f>
        <v>其他</v>
      </c>
      <c r="W38">
        <f>'附件4 规划外'!D215</f>
        <v>0</v>
      </c>
      <c r="X38">
        <f>'附件4 规划外'!E215</f>
        <v>6853</v>
      </c>
      <c r="Y38">
        <f>'附件4 规划外'!F215</f>
        <v>0</v>
      </c>
      <c r="Z38">
        <f>'附件4 规划外'!G215</f>
        <v>3500</v>
      </c>
      <c r="AA38">
        <f>'附件4 规划外'!H215</f>
        <v>0</v>
      </c>
      <c r="AB38" t="str">
        <f>'附件4 规划外'!I215</f>
        <v>在建</v>
      </c>
      <c r="AC38">
        <f>'附件4 规划外'!J215</f>
        <v>2700</v>
      </c>
      <c r="AD38">
        <f>'附件4 规划外'!K215</f>
        <v>2700</v>
      </c>
      <c r="AE38">
        <f>'附件4 规划外'!L215</f>
        <v>0</v>
      </c>
      <c r="AF38">
        <f>'附件4 规划外'!M215</f>
        <v>44682</v>
      </c>
      <c r="AG38">
        <f>'附件4 规划外'!N215</f>
        <v>44866</v>
      </c>
      <c r="AH38" t="str">
        <f>'附件4 规划外'!O215</f>
        <v>市民政局</v>
      </c>
      <c r="AI38" t="str">
        <f>'附件4 规划外'!P215</f>
        <v>市本级</v>
      </c>
      <c r="AJ38">
        <f>'附件4 规划外'!Q215</f>
        <v>0</v>
      </c>
      <c r="AK38">
        <f>'附件4 规划外'!R215</f>
        <v>0</v>
      </c>
    </row>
    <row r="39" spans="20:37">
      <c r="T39">
        <f>'附件4 规划外'!A219</f>
        <v>233</v>
      </c>
      <c r="U39" t="str">
        <f>'附件4 规划外'!B219</f>
        <v>北宋东京城顺天门（新郑门）遗址展示馆建设项目</v>
      </c>
      <c r="V39" t="str">
        <f>'附件4 规划外'!C219</f>
        <v>其他</v>
      </c>
      <c r="W39">
        <f>'附件4 规划外'!D219</f>
        <v>0</v>
      </c>
      <c r="X39">
        <f>'附件4 规划外'!E219</f>
        <v>66410.49</v>
      </c>
      <c r="Y39">
        <f>'附件4 规划外'!F219</f>
        <v>0</v>
      </c>
      <c r="Z39">
        <f>'附件4 规划外'!G219</f>
        <v>39184</v>
      </c>
      <c r="AA39">
        <f>'附件4 规划外'!H219</f>
        <v>0</v>
      </c>
      <c r="AB39" t="str">
        <f>'附件4 规划外'!I219</f>
        <v>在建</v>
      </c>
      <c r="AC39">
        <f>'附件4 规划外'!J219</f>
        <v>34854.3</v>
      </c>
      <c r="AD39">
        <f>'附件4 规划外'!K219</f>
        <v>34854.3</v>
      </c>
      <c r="AE39">
        <f>'附件4 规划外'!L219</f>
        <v>0</v>
      </c>
      <c r="AF39">
        <f>'附件4 规划外'!M219</f>
        <v>44562</v>
      </c>
      <c r="AG39">
        <f>'附件4 规划外'!N219</f>
        <v>45261</v>
      </c>
      <c r="AH39" t="str">
        <f>'附件4 规划外'!O219</f>
        <v>市文化广电旅游局</v>
      </c>
      <c r="AI39" t="str">
        <f>'附件4 规划外'!P219</f>
        <v>市本级</v>
      </c>
      <c r="AJ39">
        <f>'附件4 规划外'!Q219</f>
        <v>0</v>
      </c>
      <c r="AK39">
        <f>'附件4 规划外'!R219</f>
        <v>0</v>
      </c>
    </row>
  </sheetData>
  <sheetProtection formatCells="0" formatColumns="0" formatRows="0" sort="0" autoFilter="0"/>
  <autoFilter ref="A6:AK39">
    <extLst/>
  </autoFilter>
  <mergeCells count="5">
    <mergeCell ref="A1:G1"/>
    <mergeCell ref="H1:N1"/>
    <mergeCell ref="O1:U1"/>
    <mergeCell ref="A5:R5"/>
    <mergeCell ref="T5:AK5"/>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46"/>
  <sheetViews>
    <sheetView zoomScale="90" zoomScaleNormal="90" workbookViewId="0">
      <pane ySplit="6" topLeftCell="A7" activePane="bottomLeft" state="frozen"/>
      <selection/>
      <selection pane="bottomLeft" activeCell="Q21" sqref="Q21"/>
    </sheetView>
  </sheetViews>
  <sheetFormatPr defaultColWidth="9" defaultRowHeight="13.5"/>
  <cols>
    <col min="3" max="3" width="10.0916666666667" customWidth="1"/>
    <col min="6" max="6" width="11.45" customWidth="1"/>
    <col min="13" max="14" width="11.3666666666667" customWidth="1"/>
    <col min="20" max="20" width="9.26666666666667" customWidth="1"/>
    <col min="21" max="21" width="11.9083333333333" customWidth="1"/>
    <col min="25" max="25" width="11.725" customWidth="1"/>
    <col min="32" max="33" width="11.3666666666667" customWidth="1"/>
  </cols>
  <sheetData>
    <row r="1" ht="14.15" customHeight="1" spans="1:21">
      <c r="A1" s="2" t="s">
        <v>1230</v>
      </c>
      <c r="B1" s="3"/>
      <c r="C1" s="3"/>
      <c r="D1" s="3"/>
      <c r="E1" s="3"/>
      <c r="F1" s="3"/>
      <c r="G1" s="4"/>
      <c r="H1" s="5" t="s">
        <v>1231</v>
      </c>
      <c r="I1" s="5"/>
      <c r="J1" s="5"/>
      <c r="K1" s="5"/>
      <c r="L1" s="5"/>
      <c r="M1" s="5"/>
      <c r="N1" s="5"/>
      <c r="O1" s="16" t="s">
        <v>1231</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56</v>
      </c>
      <c r="C3" s="10">
        <f t="shared" ref="C3:F4" si="0">J3+Q3</f>
        <v>119417.07</v>
      </c>
      <c r="D3" s="10">
        <f t="shared" si="0"/>
        <v>56</v>
      </c>
      <c r="E3" s="10">
        <f t="shared" si="0"/>
        <v>50</v>
      </c>
      <c r="F3" s="10">
        <f t="shared" si="0"/>
        <v>113969</v>
      </c>
      <c r="G3" s="11">
        <f>IF(C3=0,"-",ROUND(F3/C3,3))</f>
        <v>0.954</v>
      </c>
      <c r="H3" s="8" t="s">
        <v>1146</v>
      </c>
      <c r="I3" s="17">
        <f>COUNT(E7:E122)</f>
        <v>40</v>
      </c>
      <c r="J3" s="21">
        <f>SUM(E7:E122)</f>
        <v>10754</v>
      </c>
      <c r="K3" s="21">
        <f>COUNTIF(I7:I122,"在建")+COUNTIF(I7:I122,"完工")</f>
        <v>40</v>
      </c>
      <c r="L3" s="21">
        <f>COUNTIF(I7:I122,"完工")</f>
        <v>39</v>
      </c>
      <c r="M3" s="17">
        <f>SUM(J7:J122)</f>
        <v>10600</v>
      </c>
      <c r="N3" s="22">
        <f>IF(J3=0,"-",ROUND(M3/J3,3))</f>
        <v>0.986</v>
      </c>
      <c r="O3" s="19" t="s">
        <v>1146</v>
      </c>
      <c r="P3" s="20">
        <f>COUNT(X7:X122)</f>
        <v>16</v>
      </c>
      <c r="Q3" s="24">
        <f>SUM(X7:X122)</f>
        <v>108663.07</v>
      </c>
      <c r="R3" s="24">
        <f>COUNTIF(AB7:AB122,"在建")+COUNTIF(AB7:AB122,"完工")</f>
        <v>16</v>
      </c>
      <c r="S3" s="24">
        <f>COUNTIF(AB7:AB122,"完工")</f>
        <v>11</v>
      </c>
      <c r="T3" s="20">
        <f>SUM(AC7:AC122)</f>
        <v>103369</v>
      </c>
      <c r="U3" s="25">
        <f>IF(Q3=0,"-",ROUND(T3/Q3,3))</f>
        <v>0.951</v>
      </c>
    </row>
    <row r="4" ht="27" spans="1:21">
      <c r="A4" s="9" t="s">
        <v>1147</v>
      </c>
      <c r="B4" s="10">
        <f>I4+P4</f>
        <v>39</v>
      </c>
      <c r="C4" s="10">
        <f t="shared" si="0"/>
        <v>107416.57</v>
      </c>
      <c r="D4" s="10">
        <f t="shared" si="0"/>
        <v>39</v>
      </c>
      <c r="E4" s="10">
        <f t="shared" si="0"/>
        <v>33</v>
      </c>
      <c r="F4" s="10">
        <f t="shared" si="0"/>
        <v>101968.5</v>
      </c>
      <c r="G4" s="12">
        <f>IF(C4=0,"-",ROUND(F4/C4,3))</f>
        <v>0.949</v>
      </c>
      <c r="H4" s="8" t="s">
        <v>1148</v>
      </c>
      <c r="I4" s="17">
        <f>COUNTIF(G7:G122,"&gt;0")</f>
        <v>30</v>
      </c>
      <c r="J4" s="21">
        <f>SUM(G7:G122)</f>
        <v>10246.5</v>
      </c>
      <c r="K4" s="21">
        <f>COUNTIFS(G7:G122,"&gt;0",I7:I122,"完工")+COUNTIFS(G7:G122,"&gt;0",I7:I122,"在建")</f>
        <v>30</v>
      </c>
      <c r="L4" s="21">
        <f>COUNTIFS(G7:G122,"&gt;0",I7:I122,"完工")</f>
        <v>29</v>
      </c>
      <c r="M4" s="17">
        <f>SUM(K7:K122)</f>
        <v>10092.5</v>
      </c>
      <c r="N4" s="22">
        <f>IF(J4=0,"-",ROUND(M4/J4,3))</f>
        <v>0.985</v>
      </c>
      <c r="O4" s="19" t="s">
        <v>1148</v>
      </c>
      <c r="P4" s="20">
        <f>COUNTIF(Z7:Z122,"&gt;0")</f>
        <v>9</v>
      </c>
      <c r="Q4" s="24">
        <f>SUM(Z7:Z122)</f>
        <v>97170.07</v>
      </c>
      <c r="R4" s="24">
        <f>COUNTIFS(Z7:Z122,"&gt;0",AB7:AB122,"完工")+COUNTIFS(Z7:Z122,"&gt;0",AB7:AB122,"在建")</f>
        <v>9</v>
      </c>
      <c r="S4" s="24">
        <f>COUNTIFS(Z7:Z122,"&gt;0",AB7:AB122,"完工")</f>
        <v>4</v>
      </c>
      <c r="T4" s="20">
        <f>SUM(AD7:AD122)</f>
        <v>91876</v>
      </c>
      <c r="U4" s="25">
        <f>IF(Q4=0,"-",ROUND(T4/Q4,3))</f>
        <v>0.946</v>
      </c>
    </row>
    <row r="5" s="1" customFormat="1" spans="1:37">
      <c r="A5" s="13" t="s">
        <v>1232</v>
      </c>
      <c r="B5" s="14"/>
      <c r="C5" s="14"/>
      <c r="D5" s="14"/>
      <c r="E5" s="14"/>
      <c r="F5" s="14"/>
      <c r="G5" s="14"/>
      <c r="H5" s="14"/>
      <c r="I5" s="14"/>
      <c r="J5" s="14"/>
      <c r="K5" s="14"/>
      <c r="L5" s="14"/>
      <c r="M5" s="14"/>
      <c r="N5" s="14"/>
      <c r="O5" s="14"/>
      <c r="P5" s="14"/>
      <c r="Q5" s="14"/>
      <c r="R5" s="36"/>
      <c r="T5" s="13" t="s">
        <v>1233</v>
      </c>
      <c r="U5" s="14"/>
      <c r="V5" s="14"/>
      <c r="W5" s="14"/>
      <c r="X5" s="14"/>
      <c r="Y5" s="14"/>
      <c r="Z5" s="14"/>
      <c r="AA5" s="14"/>
      <c r="AB5" s="14"/>
      <c r="AC5" s="14"/>
      <c r="AD5" s="14"/>
      <c r="AE5" s="14"/>
      <c r="AF5" s="14"/>
      <c r="AG5" s="14"/>
      <c r="AH5" s="14"/>
      <c r="AI5" s="14"/>
      <c r="AJ5" s="14"/>
      <c r="AK5" s="36"/>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规划内'!A10</f>
        <v>9</v>
      </c>
      <c r="B7" t="str">
        <f>'附件3 规划内'!B10</f>
        <v>杜公河</v>
      </c>
      <c r="C7" t="str">
        <f>'附件3 规划内'!C10</f>
        <v>水利</v>
      </c>
      <c r="D7" t="str">
        <f>'附件3 规划内'!D10</f>
        <v>堤防加固。</v>
      </c>
      <c r="E7">
        <f>'附件3 规划内'!E10</f>
        <v>20</v>
      </c>
      <c r="F7">
        <f>'附件3 规划内'!F10</f>
        <v>20</v>
      </c>
      <c r="G7">
        <f>'附件3 规划内'!G10</f>
        <v>0</v>
      </c>
      <c r="H7">
        <f>'附件3 规划内'!H10</f>
        <v>0</v>
      </c>
      <c r="I7" t="str">
        <f>'附件3 规划内'!I10</f>
        <v>完工</v>
      </c>
      <c r="J7">
        <f>'附件3 规划内'!J10</f>
        <v>20</v>
      </c>
      <c r="K7" t="str">
        <f>'附件3 规划内'!K10</f>
        <v/>
      </c>
      <c r="L7">
        <f>'附件3 规划内'!L10</f>
        <v>0</v>
      </c>
      <c r="M7" s="26">
        <f>'附件3 规划内'!M10</f>
        <v>44520</v>
      </c>
      <c r="N7" s="26">
        <f>'附件3 规划内'!N10</f>
        <v>44621</v>
      </c>
      <c r="O7" t="str">
        <f>'附件3 规划内'!O10</f>
        <v>市水利局</v>
      </c>
      <c r="P7" t="str">
        <f>'附件3 规划内'!P10</f>
        <v>尉氏县</v>
      </c>
      <c r="T7">
        <f>'附件4 规划外'!A2</f>
        <v>1</v>
      </c>
      <c r="U7" t="str">
        <f>'附件4 规划外'!B2</f>
        <v>开封市城区2019年农村饮水安全巩固提升工程基础设施修复</v>
      </c>
      <c r="V7" t="str">
        <f>'附件4 规划外'!C2</f>
        <v>水利</v>
      </c>
      <c r="W7" t="str">
        <f>'附件4 规划外'!D2</f>
        <v>供水管道、厂（站）基建设施以及供水设施等</v>
      </c>
      <c r="X7">
        <f>'附件4 规划外'!E2</f>
        <v>340</v>
      </c>
      <c r="Y7">
        <f>'附件4 规划外'!F2</f>
        <v>340</v>
      </c>
      <c r="Z7">
        <f>'附件4 规划外'!G2</f>
        <v>0</v>
      </c>
      <c r="AA7">
        <f>'附件4 规划外'!H2</f>
        <v>0</v>
      </c>
      <c r="AB7" t="str">
        <f>'附件4 规划外'!I2</f>
        <v>完工</v>
      </c>
      <c r="AC7">
        <f>'附件4 规划外'!J2</f>
        <v>340</v>
      </c>
      <c r="AD7" t="str">
        <f>'附件4 规划外'!K2</f>
        <v/>
      </c>
      <c r="AE7" t="str">
        <f>'附件4 规划外'!L2</f>
        <v>已完成</v>
      </c>
      <c r="AF7" s="26">
        <f>'附件4 规划外'!M2</f>
        <v>44440</v>
      </c>
      <c r="AG7" s="26">
        <f>'附件4 规划外'!N2</f>
        <v>44896</v>
      </c>
      <c r="AH7" t="str">
        <f>'附件4 规划外'!O2</f>
        <v>市水利局</v>
      </c>
      <c r="AI7" t="str">
        <f>'附件4 规划外'!P2</f>
        <v>市本级</v>
      </c>
      <c r="AJ7">
        <f>'附件4 规划外'!Q2</f>
        <v>0</v>
      </c>
      <c r="AK7">
        <f>'附件4 规划外'!R2</f>
        <v>0</v>
      </c>
    </row>
    <row r="8" spans="1:37">
      <c r="A8">
        <f>'附件3 规划内'!A11</f>
        <v>10</v>
      </c>
      <c r="B8" t="str">
        <f>'附件3 规划内'!B11</f>
        <v>康沟河</v>
      </c>
      <c r="C8" t="str">
        <f>'附件3 规划内'!C11</f>
        <v>水利</v>
      </c>
      <c r="D8" t="str">
        <f>'附件3 规划内'!D11</f>
        <v>堤防及护坡水毁修复。</v>
      </c>
      <c r="E8">
        <f>'附件3 规划内'!E11</f>
        <v>50</v>
      </c>
      <c r="F8">
        <f>'附件3 规划内'!F11</f>
        <v>50</v>
      </c>
      <c r="G8">
        <f>'附件3 规划内'!G11</f>
        <v>0</v>
      </c>
      <c r="H8">
        <f>'附件3 规划内'!H11</f>
        <v>0</v>
      </c>
      <c r="I8" t="str">
        <f>'附件3 规划内'!I11</f>
        <v>完工</v>
      </c>
      <c r="J8">
        <f>'附件3 规划内'!J11</f>
        <v>50</v>
      </c>
      <c r="K8" t="str">
        <f>'附件3 规划内'!K11</f>
        <v/>
      </c>
      <c r="L8">
        <f>'附件3 规划内'!L11</f>
        <v>0</v>
      </c>
      <c r="M8" s="26">
        <f>'附件3 规划内'!M11</f>
        <v>44520</v>
      </c>
      <c r="N8" s="26">
        <f>'附件3 规划内'!N11</f>
        <v>44621</v>
      </c>
      <c r="O8" t="str">
        <f>'附件3 规划内'!O11</f>
        <v>市水利局</v>
      </c>
      <c r="P8" t="str">
        <f>'附件3 规划内'!P11</f>
        <v>尉氏县</v>
      </c>
      <c r="T8">
        <f>'附件4 规划外'!A3</f>
        <v>2</v>
      </c>
      <c r="U8" t="str">
        <f>'附件4 规划外'!B3</f>
        <v>城乡供水管道水毁修复</v>
      </c>
      <c r="V8" t="str">
        <f>'附件4 规划外'!C3</f>
        <v>水利</v>
      </c>
      <c r="W8" t="str">
        <f>'附件4 规划外'!D3</f>
        <v>水毁城乡供水管道修复</v>
      </c>
      <c r="X8">
        <f>'附件4 规划外'!E3</f>
        <v>60</v>
      </c>
      <c r="Y8">
        <f>'附件4 规划外'!F3</f>
        <v>60</v>
      </c>
      <c r="Z8">
        <f>'附件4 规划外'!G3</f>
        <v>0</v>
      </c>
      <c r="AA8">
        <f>'附件4 规划外'!H3</f>
        <v>0</v>
      </c>
      <c r="AB8" t="str">
        <f>'附件4 规划外'!I3</f>
        <v>完工</v>
      </c>
      <c r="AC8">
        <f>'附件4 规划外'!J3</f>
        <v>60</v>
      </c>
      <c r="AD8" t="str">
        <f>'附件4 规划外'!K3</f>
        <v/>
      </c>
      <c r="AE8" t="str">
        <f>'附件4 规划外'!L3</f>
        <v>已完成</v>
      </c>
      <c r="AF8" s="26">
        <f>'附件4 规划外'!M3</f>
        <v>44440</v>
      </c>
      <c r="AG8" s="26">
        <f>'附件4 规划外'!N3</f>
        <v>44896</v>
      </c>
      <c r="AH8" t="str">
        <f>'附件4 规划外'!O3</f>
        <v>市水利局</v>
      </c>
      <c r="AI8" t="str">
        <f>'附件4 规划外'!P3</f>
        <v>市本级</v>
      </c>
      <c r="AJ8">
        <f>'附件4 规划外'!Q3</f>
        <v>0</v>
      </c>
      <c r="AK8">
        <f>'附件4 规划外'!R3</f>
        <v>0</v>
      </c>
    </row>
    <row r="9" spans="1:37">
      <c r="A9">
        <f>'附件3 规划内'!A12</f>
        <v>11</v>
      </c>
      <c r="B9" t="str">
        <f>'附件3 规划内'!B12</f>
        <v>黎明河</v>
      </c>
      <c r="C9" t="str">
        <f>'附件3 规划内'!C12</f>
        <v>水利</v>
      </c>
      <c r="D9" t="str">
        <f>'附件3 规划内'!D12</f>
        <v>堤防加固，岸坡修复。</v>
      </c>
      <c r="E9">
        <f>'附件3 规划内'!E12</f>
        <v>10</v>
      </c>
      <c r="F9">
        <f>'附件3 规划内'!F12</f>
        <v>10</v>
      </c>
      <c r="G9">
        <f>'附件3 规划内'!G12</f>
        <v>0</v>
      </c>
      <c r="H9">
        <f>'附件3 规划内'!H12</f>
        <v>0</v>
      </c>
      <c r="I9" t="str">
        <f>'附件3 规划内'!I12</f>
        <v>完工</v>
      </c>
      <c r="J9">
        <f>'附件3 规划内'!J12</f>
        <v>10</v>
      </c>
      <c r="K9" t="str">
        <f>'附件3 规划内'!K12</f>
        <v/>
      </c>
      <c r="L9">
        <f>'附件3 规划内'!L12</f>
        <v>0</v>
      </c>
      <c r="M9" s="26">
        <f>'附件3 规划内'!M12</f>
        <v>44520</v>
      </c>
      <c r="N9" s="26">
        <f>'附件3 规划内'!N12</f>
        <v>44621</v>
      </c>
      <c r="O9" t="str">
        <f>'附件3 规划内'!O12</f>
        <v>市水利局</v>
      </c>
      <c r="P9" t="str">
        <f>'附件3 规划内'!P12</f>
        <v>尉氏县</v>
      </c>
      <c r="T9">
        <f>'附件4 规划外'!A4</f>
        <v>3</v>
      </c>
      <c r="U9" t="str">
        <f>'附件4 规划外'!B4</f>
        <v>开封市黑岗口引黄调蓄水库水毁修复</v>
      </c>
      <c r="V9" t="str">
        <f>'附件4 规划外'!C4</f>
        <v>水利</v>
      </c>
      <c r="W9" t="str">
        <f>'附件4 规划外'!D4</f>
        <v>水毁修复护岸4500米</v>
      </c>
      <c r="X9">
        <f>'附件4 规划外'!E4</f>
        <v>60</v>
      </c>
      <c r="Y9">
        <f>'附件4 规划外'!F4</f>
        <v>60</v>
      </c>
      <c r="Z9">
        <f>'附件4 规划外'!G4</f>
        <v>0</v>
      </c>
      <c r="AA9">
        <f>'附件4 规划外'!H4</f>
        <v>0</v>
      </c>
      <c r="AB9" t="str">
        <f>'附件4 规划外'!I4</f>
        <v>完工</v>
      </c>
      <c r="AC9">
        <f>'附件4 规划外'!J4</f>
        <v>60</v>
      </c>
      <c r="AD9" t="str">
        <f>'附件4 规划外'!K4</f>
        <v/>
      </c>
      <c r="AE9" t="str">
        <f>'附件4 规划外'!L4</f>
        <v>已完成</v>
      </c>
      <c r="AF9" s="26">
        <f>'附件4 规划外'!M4</f>
        <v>44440</v>
      </c>
      <c r="AG9" s="26">
        <f>'附件4 规划外'!N4</f>
        <v>44896</v>
      </c>
      <c r="AH9" t="str">
        <f>'附件4 规划外'!O4</f>
        <v>市水利局</v>
      </c>
      <c r="AI9" t="str">
        <f>'附件4 规划外'!P4</f>
        <v>市本级</v>
      </c>
      <c r="AJ9">
        <f>'附件4 规划外'!Q4</f>
        <v>0</v>
      </c>
      <c r="AK9">
        <f>'附件4 规划外'!R4</f>
        <v>0</v>
      </c>
    </row>
    <row r="10" spans="1:37">
      <c r="A10">
        <f>'附件3 规划内'!A13</f>
        <v>12</v>
      </c>
      <c r="B10" t="str">
        <f>'附件3 规划内'!B13</f>
        <v>北康沟</v>
      </c>
      <c r="C10" t="str">
        <f>'附件3 规划内'!C13</f>
        <v>水利</v>
      </c>
      <c r="D10" t="str">
        <f>'附件3 规划内'!D13</f>
        <v>对水毁堤防进行加固。</v>
      </c>
      <c r="E10">
        <f>'附件3 规划内'!E13</f>
        <v>816</v>
      </c>
      <c r="F10">
        <f>'附件3 规划内'!F13</f>
        <v>50</v>
      </c>
      <c r="G10">
        <f>'附件3 规划内'!G13</f>
        <v>766</v>
      </c>
      <c r="H10">
        <f>'附件3 规划内'!H13</f>
        <v>0</v>
      </c>
      <c r="I10" t="str">
        <f>'附件3 规划内'!I13</f>
        <v>完工</v>
      </c>
      <c r="J10">
        <f>'附件3 规划内'!J13</f>
        <v>816</v>
      </c>
      <c r="K10">
        <f>'附件3 规划内'!K13</f>
        <v>766</v>
      </c>
      <c r="L10">
        <f>'附件3 规划内'!L13</f>
        <v>0</v>
      </c>
      <c r="M10" s="26">
        <f>'附件3 规划内'!M13</f>
        <v>44571</v>
      </c>
      <c r="N10" s="26">
        <f>'附件3 规划内'!N13</f>
        <v>44696</v>
      </c>
      <c r="O10" t="str">
        <f>'附件3 规划内'!O13</f>
        <v>市水利局</v>
      </c>
      <c r="P10" t="str">
        <f>'附件3 规划内'!P13</f>
        <v>尉氏县</v>
      </c>
      <c r="T10">
        <f>'附件4 规划外'!A5</f>
        <v>4</v>
      </c>
      <c r="U10" t="str">
        <f>'附件4 规划外'!B5</f>
        <v>马家河修复提升项目</v>
      </c>
      <c r="V10" t="str">
        <f>'附件4 规划外'!C5</f>
        <v>水利</v>
      </c>
      <c r="W10" t="str">
        <f>'附件4 规划外'!D5</f>
        <v>护岸滑塌，冲毁约12.5km，路基下掏空、路面坍塌破坏约0.49km，堤防修复约2.9km。</v>
      </c>
      <c r="X10">
        <f>'附件4 规划外'!E5</f>
        <v>500</v>
      </c>
      <c r="Y10">
        <f>'附件4 规划外'!F5</f>
        <v>500</v>
      </c>
      <c r="Z10">
        <f>'附件4 规划外'!G5</f>
        <v>0</v>
      </c>
      <c r="AA10">
        <f>'附件4 规划外'!H5</f>
        <v>0</v>
      </c>
      <c r="AB10" t="str">
        <f>'附件4 规划外'!I5</f>
        <v>完工</v>
      </c>
      <c r="AC10">
        <f>'附件4 规划外'!J5</f>
        <v>500</v>
      </c>
      <c r="AD10" t="str">
        <f>'附件4 规划外'!K5</f>
        <v/>
      </c>
      <c r="AE10" t="str">
        <f>'附件4 规划外'!L5</f>
        <v>已完成</v>
      </c>
      <c r="AF10" s="26">
        <f>'附件4 规划外'!M5</f>
        <v>44440</v>
      </c>
      <c r="AG10" s="26">
        <f>'附件4 规划外'!N5</f>
        <v>44896</v>
      </c>
      <c r="AH10" t="str">
        <f>'附件4 规划外'!O5</f>
        <v>市水利局</v>
      </c>
      <c r="AI10" t="str">
        <f>'附件4 规划外'!P5</f>
        <v>市本级</v>
      </c>
      <c r="AJ10">
        <f>'附件4 规划外'!Q5</f>
        <v>0</v>
      </c>
      <c r="AK10">
        <f>'附件4 规划外'!R5</f>
        <v>0</v>
      </c>
    </row>
    <row r="11" spans="1:37">
      <c r="A11">
        <f>'附件3 规划内'!A14</f>
        <v>13</v>
      </c>
      <c r="B11" t="str">
        <f>'附件3 规划内'!B14</f>
        <v>惠济河</v>
      </c>
      <c r="C11" t="str">
        <f>'附件3 规划内'!C14</f>
        <v>水利</v>
      </c>
      <c r="D11" t="str">
        <f>'附件3 规划内'!D14</f>
        <v>土方回填，重新筑堤，涵闸重建。</v>
      </c>
      <c r="E11">
        <f>'附件3 规划内'!E14</f>
        <v>1113</v>
      </c>
      <c r="F11">
        <f>'附件3 规划内'!F14</f>
        <v>0</v>
      </c>
      <c r="G11">
        <f>'附件3 规划内'!G14</f>
        <v>1113</v>
      </c>
      <c r="H11">
        <f>'附件3 规划内'!H14</f>
        <v>0</v>
      </c>
      <c r="I11" t="str">
        <f>'附件3 规划内'!I14</f>
        <v>完工</v>
      </c>
      <c r="J11">
        <f>'附件3 规划内'!J14</f>
        <v>1113</v>
      </c>
      <c r="K11">
        <f>'附件3 规划内'!K14</f>
        <v>1113</v>
      </c>
      <c r="L11">
        <f>'附件3 规划内'!L14</f>
        <v>0</v>
      </c>
      <c r="M11" s="26">
        <f>'附件3 规划内'!M14</f>
        <v>44581</v>
      </c>
      <c r="N11" s="26">
        <f>'附件3 规划内'!N14</f>
        <v>44696</v>
      </c>
      <c r="O11" t="str">
        <f>'附件3 规划内'!O14</f>
        <v>市水利局</v>
      </c>
      <c r="P11" t="str">
        <f>'附件3 规划内'!P14</f>
        <v>市本级</v>
      </c>
      <c r="T11">
        <f>'附件4 规划外'!A6</f>
        <v>5</v>
      </c>
      <c r="U11" t="str">
        <f>'附件4 规划外'!B6</f>
        <v>宋湾函闸，司岗涵闸，小蒋河大高寨段水利修复建设项目</v>
      </c>
      <c r="V11" t="str">
        <f>'附件4 规划外'!C6</f>
        <v>水利</v>
      </c>
      <c r="W11" t="str">
        <f>'附件4 规划外'!D6</f>
        <v>宋湾函闸，司岗涵闸，小蒋河大高寨段加固堤防250米</v>
      </c>
      <c r="X11">
        <f>'附件4 规划外'!E6</f>
        <v>93</v>
      </c>
      <c r="Y11">
        <f>'附件4 规划外'!F6</f>
        <v>93</v>
      </c>
      <c r="Z11">
        <f>'附件4 规划外'!G6</f>
        <v>0</v>
      </c>
      <c r="AA11">
        <f>'附件4 规划外'!H6</f>
        <v>0</v>
      </c>
      <c r="AB11" t="str">
        <f>'附件4 规划外'!I6</f>
        <v>完工</v>
      </c>
      <c r="AC11">
        <f>'附件4 规划外'!J6</f>
        <v>93</v>
      </c>
      <c r="AD11" t="str">
        <f>'附件4 规划外'!K6</f>
        <v/>
      </c>
      <c r="AE11" t="str">
        <f>'附件4 规划外'!L6</f>
        <v>已完成</v>
      </c>
      <c r="AF11" s="26">
        <f>'附件4 规划外'!M6</f>
        <v>44409</v>
      </c>
      <c r="AG11" s="26">
        <f>'附件4 规划外'!N6</f>
        <v>44896</v>
      </c>
      <c r="AH11" t="str">
        <f>'附件4 规划外'!O6</f>
        <v>市水利局</v>
      </c>
      <c r="AI11" t="str">
        <f>'附件4 规划外'!P6</f>
        <v>杞县</v>
      </c>
      <c r="AJ11">
        <f>'附件4 规划外'!Q6</f>
        <v>0</v>
      </c>
      <c r="AK11">
        <f>'附件4 规划外'!R6</f>
        <v>0</v>
      </c>
    </row>
    <row r="12" spans="1:37">
      <c r="A12">
        <f>'附件3 规划内'!A15</f>
        <v>14</v>
      </c>
      <c r="B12" t="str">
        <f>'附件3 规划内'!B15</f>
        <v>涡河故道</v>
      </c>
      <c r="C12" t="str">
        <f>'附件3 规划内'!C15</f>
        <v>水利</v>
      </c>
      <c r="D12" t="str">
        <f>'附件3 规划内'!D15</f>
        <v>1、修复堤防；2、修复防汛管理道路；3、修复管理所</v>
      </c>
      <c r="E12">
        <f>'附件3 规划内'!E15</f>
        <v>10</v>
      </c>
      <c r="F12">
        <f>'附件3 规划内'!F15</f>
        <v>10</v>
      </c>
      <c r="G12">
        <f>'附件3 规划内'!G15</f>
        <v>0</v>
      </c>
      <c r="H12">
        <f>'附件3 规划内'!H15</f>
        <v>0</v>
      </c>
      <c r="I12" t="str">
        <f>'附件3 规划内'!I15</f>
        <v>完工</v>
      </c>
      <c r="J12">
        <f>'附件3 规划内'!J15</f>
        <v>10</v>
      </c>
      <c r="K12" t="str">
        <f>'附件3 规划内'!K15</f>
        <v/>
      </c>
      <c r="L12">
        <f>'附件3 规划内'!L15</f>
        <v>0</v>
      </c>
      <c r="M12" s="26">
        <f>'附件3 规划内'!M15</f>
        <v>44510</v>
      </c>
      <c r="N12" s="26">
        <f>'附件3 规划内'!N15</f>
        <v>44696</v>
      </c>
      <c r="O12" t="str">
        <f>'附件3 规划内'!O15</f>
        <v>市水利局</v>
      </c>
      <c r="P12" t="str">
        <f>'附件3 规划内'!P15</f>
        <v>通许县</v>
      </c>
      <c r="T12">
        <f>'附件4 规划外'!A7</f>
        <v>6</v>
      </c>
      <c r="U12" t="str">
        <f>'附件4 规划外'!B7</f>
        <v>马家河综合治理（晋安路-宋城路蓄滞洪）水毁修复工程</v>
      </c>
      <c r="V12" t="str">
        <f>'附件4 规划外'!C7</f>
        <v>水利</v>
      </c>
      <c r="W12" t="str">
        <f>'附件4 规划外'!D7</f>
        <v>滞蓄洪工程、建筑物工程、防渗工程、河道治理、节制闸</v>
      </c>
      <c r="X12">
        <f>'附件4 规划外'!E7</f>
        <v>1500</v>
      </c>
      <c r="Y12">
        <f>'附件4 规划外'!F7</f>
        <v>1500</v>
      </c>
      <c r="Z12">
        <f>'附件4 规划外'!G7</f>
        <v>0</v>
      </c>
      <c r="AA12">
        <f>'附件4 规划外'!H7</f>
        <v>0</v>
      </c>
      <c r="AB12" t="str">
        <f>'附件4 规划外'!I7</f>
        <v>完工</v>
      </c>
      <c r="AC12">
        <f>'附件4 规划外'!J7</f>
        <v>1500</v>
      </c>
      <c r="AD12" t="str">
        <f>'附件4 规划外'!K7</f>
        <v/>
      </c>
      <c r="AE12" t="str">
        <f>'附件4 规划外'!L7</f>
        <v>已完成</v>
      </c>
      <c r="AF12" s="26">
        <f>'附件4 规划外'!M7</f>
        <v>44470</v>
      </c>
      <c r="AG12" s="26">
        <f>'附件4 规划外'!N7</f>
        <v>44896</v>
      </c>
      <c r="AH12" t="str">
        <f>'附件4 规划外'!O7</f>
        <v>市水利局</v>
      </c>
      <c r="AI12" t="str">
        <f>'附件4 规划外'!P7</f>
        <v>市本级</v>
      </c>
      <c r="AJ12">
        <f>'附件4 规划外'!Q7</f>
        <v>0</v>
      </c>
      <c r="AK12">
        <f>'附件4 规划外'!R7</f>
        <v>0</v>
      </c>
    </row>
    <row r="13" spans="1:37">
      <c r="A13">
        <f>'附件3 规划内'!A16</f>
        <v>15</v>
      </c>
      <c r="B13" t="str">
        <f>'附件3 规划内'!B16</f>
        <v>涡河</v>
      </c>
      <c r="C13" t="str">
        <f>'附件3 规划内'!C16</f>
        <v>水利</v>
      </c>
      <c r="D13" t="str">
        <f>'附件3 规划内'!D16</f>
        <v>1、恢复堤防；2、维修沿线涵闸；</v>
      </c>
      <c r="E13">
        <f>'附件3 规划内'!E16</f>
        <v>150</v>
      </c>
      <c r="F13">
        <f>'附件3 规划内'!F16</f>
        <v>150</v>
      </c>
      <c r="G13">
        <f>'附件3 规划内'!G16</f>
        <v>0</v>
      </c>
      <c r="H13">
        <f>'附件3 规划内'!H16</f>
        <v>0</v>
      </c>
      <c r="I13" t="str">
        <f>'附件3 规划内'!I16</f>
        <v>完工</v>
      </c>
      <c r="J13">
        <f>'附件3 规划内'!J16</f>
        <v>150</v>
      </c>
      <c r="K13" t="str">
        <f>'附件3 规划内'!K16</f>
        <v/>
      </c>
      <c r="L13">
        <f>'附件3 规划内'!L16</f>
        <v>0</v>
      </c>
      <c r="M13" s="26">
        <f>'附件3 规划内'!M16</f>
        <v>44571</v>
      </c>
      <c r="N13" s="26">
        <f>'附件3 规划内'!N16</f>
        <v>44696</v>
      </c>
      <c r="O13" t="str">
        <f>'附件3 规划内'!O16</f>
        <v>市水利局</v>
      </c>
      <c r="P13" t="str">
        <f>'附件3 规划内'!P16</f>
        <v>通许县</v>
      </c>
      <c r="T13">
        <f>'附件4 规划外'!A8</f>
        <v>7</v>
      </c>
      <c r="U13" t="str">
        <f>'附件4 规划外'!B8</f>
        <v>黑岗口引黄调蓄水库灾后重建及维护工程</v>
      </c>
      <c r="V13" t="str">
        <f>'附件4 规划外'!C8</f>
        <v>水利</v>
      </c>
      <c r="W13" t="str">
        <f>'附件4 规划外'!D8</f>
        <v>维修损坏区域园路、码头、喷淋、监控、绿化、亮化、升降路桩、变压器、配电箱、河道清淤、渔业养殖等</v>
      </c>
      <c r="X13">
        <f>'附件4 规划外'!E8</f>
        <v>448</v>
      </c>
      <c r="Y13">
        <f>'附件4 规划外'!F8</f>
        <v>448</v>
      </c>
      <c r="Z13">
        <f>'附件4 规划外'!G8</f>
        <v>0</v>
      </c>
      <c r="AA13">
        <f>'附件4 规划外'!H8</f>
        <v>0</v>
      </c>
      <c r="AB13" t="str">
        <f>'附件4 规划外'!I8</f>
        <v>完工</v>
      </c>
      <c r="AC13">
        <f>'附件4 规划外'!J8</f>
        <v>448</v>
      </c>
      <c r="AD13" t="str">
        <f>'附件4 规划外'!K8</f>
        <v/>
      </c>
      <c r="AE13" t="str">
        <f>'附件4 规划外'!L8</f>
        <v>已完成</v>
      </c>
      <c r="AF13" s="26">
        <f>'附件4 规划外'!M8</f>
        <v>44470</v>
      </c>
      <c r="AG13" s="26">
        <f>'附件4 规划外'!N8</f>
        <v>44896</v>
      </c>
      <c r="AH13" t="str">
        <f>'附件4 规划外'!O8</f>
        <v>市水利局</v>
      </c>
      <c r="AI13" t="str">
        <f>'附件4 规划外'!P8</f>
        <v>市本级</v>
      </c>
      <c r="AJ13">
        <f>'附件4 规划外'!Q8</f>
        <v>0</v>
      </c>
      <c r="AK13">
        <f>'附件4 规划外'!R8</f>
        <v>0</v>
      </c>
    </row>
    <row r="14" spans="1:37">
      <c r="A14">
        <f>'附件3 规划内'!A17</f>
        <v>16</v>
      </c>
      <c r="B14" t="str">
        <f>'附件3 规划内'!B17</f>
        <v>孙城河</v>
      </c>
      <c r="C14" t="str">
        <f>'附件3 规划内'!C17</f>
        <v>水利</v>
      </c>
      <c r="D14" t="str">
        <f>'附件3 规划内'!D17</f>
        <v>孙营乡河道岸坡水毁修复450米（1处）</v>
      </c>
      <c r="E14">
        <f>'附件3 规划内'!E17</f>
        <v>50</v>
      </c>
      <c r="F14">
        <f>'附件3 规划内'!F17</f>
        <v>50</v>
      </c>
      <c r="G14">
        <f>'附件3 规划内'!G17</f>
        <v>0</v>
      </c>
      <c r="H14">
        <f>'附件3 规划内'!H17</f>
        <v>0</v>
      </c>
      <c r="I14" t="str">
        <f>'附件3 规划内'!I17</f>
        <v>完工</v>
      </c>
      <c r="J14">
        <f>'附件3 规划内'!J17</f>
        <v>50</v>
      </c>
      <c r="K14" t="str">
        <f>'附件3 规划内'!K17</f>
        <v/>
      </c>
      <c r="L14">
        <f>'附件3 规划内'!L17</f>
        <v>0</v>
      </c>
      <c r="M14" s="26">
        <f>'附件3 规划内'!M17</f>
        <v>44520</v>
      </c>
      <c r="N14" s="26">
        <f>'附件3 规划内'!N17</f>
        <v>44696</v>
      </c>
      <c r="O14" t="str">
        <f>'附件3 规划内'!O17</f>
        <v>市水利局</v>
      </c>
      <c r="P14" t="str">
        <f>'附件3 规划内'!P17</f>
        <v>通许县</v>
      </c>
      <c r="T14">
        <f>'附件4 规划外'!A9</f>
        <v>8</v>
      </c>
      <c r="U14" t="str">
        <f>'附件4 规划外'!B9</f>
        <v>黑岗口中型灌区续建配套与节水改造</v>
      </c>
      <c r="V14" t="str">
        <f>'附件4 规划外'!C9</f>
        <v>水利</v>
      </c>
      <c r="W14" t="str">
        <f>'附件4 规划外'!D9</f>
        <v>新建渠首10m?/s泵站1处，衬砌干渠33.78km，其中总干渠衬砌护坡1.5km，东干渠衬砌护坡32.28km；巡渠道路36.94km，其中东干渠23.59km，西干渠4.4km，南干渠8.95km；衬砌支渠9条，长度18.58km，清淤疏浚渠沟6条，长度26.35km；配套建筑物226座</v>
      </c>
      <c r="X14">
        <f>'附件4 规划外'!E9</f>
        <v>16105.87</v>
      </c>
      <c r="Y14">
        <f>'附件4 规划外'!F9</f>
        <v>8492</v>
      </c>
      <c r="Z14">
        <f>'附件4 规划外'!G9</f>
        <v>7613.87</v>
      </c>
      <c r="AA14">
        <f>'附件4 规划外'!H9</f>
        <v>0</v>
      </c>
      <c r="AB14" t="str">
        <f>'附件4 规划外'!I9</f>
        <v>在建</v>
      </c>
      <c r="AC14">
        <f>'附件4 规划外'!J9</f>
        <v>13492</v>
      </c>
      <c r="AD14">
        <f>'附件4 规划外'!K9</f>
        <v>5000</v>
      </c>
      <c r="AE14" t="str">
        <f>'附件4 规划外'!L9</f>
        <v>正在实施</v>
      </c>
      <c r="AF14" s="26">
        <f>'附件4 规划外'!M9</f>
        <v>44501</v>
      </c>
      <c r="AG14" s="26">
        <f>'附件4 规划外'!N9</f>
        <v>45017</v>
      </c>
      <c r="AH14" t="str">
        <f>'附件4 规划外'!O9</f>
        <v>市水利局</v>
      </c>
      <c r="AI14" t="str">
        <f>'附件4 规划外'!P9</f>
        <v>市本级</v>
      </c>
      <c r="AJ14">
        <f>'附件4 规划外'!Q9</f>
        <v>0</v>
      </c>
      <c r="AK14" t="str">
        <f>'附件4 规划外'!R9</f>
        <v>一期已完成，二期正在评审中</v>
      </c>
    </row>
    <row r="15" spans="1:37">
      <c r="A15">
        <f>'附件3 规划内'!A18</f>
        <v>17</v>
      </c>
      <c r="B15" t="str">
        <f>'附件3 规划内'!B18</f>
        <v>枣林沟</v>
      </c>
      <c r="C15" t="str">
        <f>'附件3 规划内'!C18</f>
        <v>水利</v>
      </c>
      <c r="D15" t="str">
        <f>'附件3 规划内'!D18</f>
        <v>朱砂镇、长智镇、四所楼镇段水毁修复1500米（3处）</v>
      </c>
      <c r="E15">
        <f>'附件3 规划内'!E18</f>
        <v>50</v>
      </c>
      <c r="F15">
        <f>'附件3 规划内'!F18</f>
        <v>50</v>
      </c>
      <c r="G15">
        <f>'附件3 规划内'!G18</f>
        <v>0</v>
      </c>
      <c r="H15">
        <f>'附件3 规划内'!H18</f>
        <v>0</v>
      </c>
      <c r="I15" t="str">
        <f>'附件3 规划内'!I18</f>
        <v>完工</v>
      </c>
      <c r="J15">
        <f>'附件3 规划内'!J18</f>
        <v>50</v>
      </c>
      <c r="K15" t="str">
        <f>'附件3 规划内'!K18</f>
        <v/>
      </c>
      <c r="L15">
        <f>'附件3 规划内'!L18</f>
        <v>0</v>
      </c>
      <c r="M15" s="26">
        <f>'附件3 规划内'!M18</f>
        <v>44520</v>
      </c>
      <c r="N15" s="26">
        <f>'附件3 规划内'!N18</f>
        <v>44696</v>
      </c>
      <c r="O15" t="str">
        <f>'附件3 规划内'!O18</f>
        <v>市水利局</v>
      </c>
      <c r="P15" t="str">
        <f>'附件3 规划内'!P18</f>
        <v>通许县</v>
      </c>
      <c r="T15">
        <f>'附件4 规划外'!A10</f>
        <v>9</v>
      </c>
      <c r="U15" t="str">
        <f>'附件4 规划外'!B10</f>
        <v>2022年度通许县水毁修复工程</v>
      </c>
      <c r="V15" t="str">
        <f>'附件4 规划外'!C10</f>
        <v>水利</v>
      </c>
      <c r="W15" t="str">
        <f>'附件4 规划外'!D10</f>
        <v>涡河、铁底河、枣林沟、标台沟维修沿线涵闸、恢复防汛管理道路、堤防，疏浚清淤；前李节制闸、厉庄节制闸、裴庄节制闸、箍桶刘节制闸、西关节制闸、林场节制闸等6座水闸、管理道路水毁严重、上下游翼墙护坡坍塌断裂、闸门启闭机损坏等进行修复、更换启闭设施.赵口灌区涡河故道闸拐王闸、杨庄闸等水毁修复。</v>
      </c>
      <c r="X15">
        <f>'附件4 规划外'!E10</f>
        <v>428</v>
      </c>
      <c r="Y15">
        <f>'附件4 规划外'!F10</f>
        <v>0</v>
      </c>
      <c r="Z15">
        <f>'附件4 规划外'!G10</f>
        <v>428</v>
      </c>
      <c r="AA15">
        <f>'附件4 规划外'!H10</f>
        <v>0</v>
      </c>
      <c r="AB15" t="str">
        <f>'附件4 规划外'!I10</f>
        <v>完工</v>
      </c>
      <c r="AC15">
        <f>'附件4 规划外'!J10</f>
        <v>428</v>
      </c>
      <c r="AD15">
        <f>'附件4 规划外'!K10</f>
        <v>428</v>
      </c>
      <c r="AE15" t="str">
        <f>'附件4 规划外'!L10</f>
        <v>已完成</v>
      </c>
      <c r="AF15" s="26">
        <f>'附件4 规划外'!M10</f>
        <v>44531</v>
      </c>
      <c r="AG15" s="26">
        <f>'附件4 规划外'!N10</f>
        <v>44593</v>
      </c>
      <c r="AH15" t="str">
        <f>'附件4 规划外'!O10</f>
        <v>市水利局</v>
      </c>
      <c r="AI15" t="str">
        <f>'附件4 规划外'!P10</f>
        <v>通许县</v>
      </c>
      <c r="AJ15">
        <f>'附件4 规划外'!Q10</f>
        <v>0</v>
      </c>
      <c r="AK15">
        <f>'附件4 规划外'!R10</f>
        <v>0</v>
      </c>
    </row>
    <row r="16" spans="1:37">
      <c r="A16">
        <f>'附件3 规划内'!A19</f>
        <v>18</v>
      </c>
      <c r="B16" t="str">
        <f>'附件3 规划内'!B19</f>
        <v>惠济河</v>
      </c>
      <c r="C16" t="str">
        <f>'附件3 规划内'!C19</f>
        <v>水利</v>
      </c>
      <c r="D16" t="str">
        <f>'附件3 规划内'!D19</f>
        <v>土方回填，重新筑堤</v>
      </c>
      <c r="E16">
        <f>'附件3 规划内'!E19</f>
        <v>40</v>
      </c>
      <c r="F16">
        <f>'附件3 规划内'!F19</f>
        <v>0</v>
      </c>
      <c r="G16">
        <f>'附件3 规划内'!G19</f>
        <v>40</v>
      </c>
      <c r="H16">
        <f>'附件3 规划内'!H19</f>
        <v>0</v>
      </c>
      <c r="I16" t="str">
        <f>'附件3 规划内'!I19</f>
        <v>完工</v>
      </c>
      <c r="J16">
        <f>'附件3 规划内'!J19</f>
        <v>40</v>
      </c>
      <c r="K16">
        <f>'附件3 规划内'!K19</f>
        <v>40</v>
      </c>
      <c r="L16">
        <f>'附件3 规划内'!L19</f>
        <v>0</v>
      </c>
      <c r="M16" s="26">
        <f>'附件3 规划内'!M19</f>
        <v>44520</v>
      </c>
      <c r="N16" s="26">
        <f>'附件3 规划内'!N19</f>
        <v>44696</v>
      </c>
      <c r="O16" t="str">
        <f>'附件3 规划内'!O19</f>
        <v>市水利局</v>
      </c>
      <c r="P16" t="str">
        <f>'附件3 规划内'!P19</f>
        <v>祥符区</v>
      </c>
      <c r="T16">
        <f>'附件4 规划外'!A11</f>
        <v>10</v>
      </c>
      <c r="U16" t="str">
        <f>'附件4 规划外'!B11</f>
        <v>开封市通许县铁底河（陈寨至木台庄段） 治理工程</v>
      </c>
      <c r="V16" t="str">
        <f>'附件4 规划外'!C11</f>
        <v>水利</v>
      </c>
      <c r="W16" t="str">
        <f>'附件4 规划外'!D11</f>
        <v>河道清淤约 5.79km、堤防修筑 4.664km、重建拦河闸1座，新 建排涝涵闸10座，重建跨河桥梁1座等。</v>
      </c>
      <c r="X16">
        <f>'附件4 规划外'!E11</f>
        <v>2300</v>
      </c>
      <c r="Y16">
        <f>'附件4 规划外'!F11</f>
        <v>0</v>
      </c>
      <c r="Z16">
        <f>'附件4 规划外'!G11</f>
        <v>2300</v>
      </c>
      <c r="AA16">
        <f>'附件4 规划外'!H11</f>
        <v>0</v>
      </c>
      <c r="AB16" t="str">
        <f>'附件4 规划外'!I11</f>
        <v>在建</v>
      </c>
      <c r="AC16">
        <f>'附件4 规划外'!J11</f>
        <v>1721</v>
      </c>
      <c r="AD16">
        <f>'附件4 规划外'!K11</f>
        <v>1721</v>
      </c>
      <c r="AE16" t="str">
        <f>'附件4 规划外'!L11</f>
        <v>正在实施</v>
      </c>
      <c r="AF16" s="26">
        <f>'附件4 规划外'!M11</f>
        <v>44652</v>
      </c>
      <c r="AG16" s="26">
        <f>'附件4 规划外'!N11</f>
        <v>45047</v>
      </c>
      <c r="AH16" t="str">
        <f>'附件4 规划外'!O11</f>
        <v>市水利局</v>
      </c>
      <c r="AI16" t="str">
        <f>'附件4 规划外'!P11</f>
        <v>通许县</v>
      </c>
      <c r="AJ16">
        <f>'附件4 规划外'!Q11</f>
        <v>0</v>
      </c>
      <c r="AK16">
        <f>'附件4 规划外'!R11</f>
        <v>0</v>
      </c>
    </row>
    <row r="17" spans="1:37">
      <c r="A17">
        <f>'附件3 规划内'!A20</f>
        <v>19</v>
      </c>
      <c r="B17" t="str">
        <f>'附件3 规划内'!B20</f>
        <v>丈八沟</v>
      </c>
      <c r="C17" t="str">
        <f>'附件3 规划内'!C20</f>
        <v>水利</v>
      </c>
      <c r="D17" t="str">
        <f>'附件3 规划内'!D20</f>
        <v>李店西南河道左岸堤防水毁修复1500米（1处）</v>
      </c>
      <c r="E17">
        <f>'附件3 规划内'!E20</f>
        <v>100</v>
      </c>
      <c r="F17">
        <f>'附件3 规划内'!F20</f>
        <v>40</v>
      </c>
      <c r="G17">
        <f>'附件3 规划内'!G20</f>
        <v>60</v>
      </c>
      <c r="H17">
        <f>'附件3 规划内'!H20</f>
        <v>0</v>
      </c>
      <c r="I17" t="str">
        <f>'附件3 规划内'!I20</f>
        <v>完工</v>
      </c>
      <c r="J17">
        <f>'附件3 规划内'!J20</f>
        <v>100</v>
      </c>
      <c r="K17">
        <f>'附件3 规划内'!K20</f>
        <v>60</v>
      </c>
      <c r="L17">
        <f>'附件3 规划内'!L20</f>
        <v>0</v>
      </c>
      <c r="M17" s="26">
        <f>'附件3 规划内'!M20</f>
        <v>44520</v>
      </c>
      <c r="N17" s="26">
        <f>'附件3 规划内'!N20</f>
        <v>44696</v>
      </c>
      <c r="O17" t="str">
        <f>'附件3 规划内'!O20</f>
        <v>市水利局</v>
      </c>
      <c r="P17" t="str">
        <f>'附件3 规划内'!P20</f>
        <v>祥符区</v>
      </c>
      <c r="T17">
        <f>'附件4 规划外'!A12</f>
        <v>11</v>
      </c>
      <c r="U17" t="str">
        <f>'附件4 规划外'!B12</f>
        <v>河南省开封市通许县小清河治理工程
（乔寨桥至开通县界）</v>
      </c>
      <c r="V17" t="str">
        <f>'附件4 规划外'!C12</f>
        <v>水利</v>
      </c>
      <c r="W17" t="str">
        <f>'附件4 规划外'!D12</f>
        <v>本次治理范围为桩号小清河开通县界（28+285）～乔寨桥（35+280），治理河段清表、两岸岸坡整修共6.995km，修筑右岸混凝土防汛路6.642km，重建跨河桥梁5座，重建沿河两岸灌排两用涵闸10座。</v>
      </c>
      <c r="X17">
        <f>'附件4 规划外'!E12</f>
        <v>1850</v>
      </c>
      <c r="Y17">
        <f>'附件4 规划外'!F12</f>
        <v>0</v>
      </c>
      <c r="Z17">
        <f>'附件4 规划外'!G12</f>
        <v>1850</v>
      </c>
      <c r="AA17">
        <f>'附件4 规划外'!H12</f>
        <v>0</v>
      </c>
      <c r="AB17" t="str">
        <f>'附件4 规划外'!I12</f>
        <v>在建</v>
      </c>
      <c r="AC17">
        <f>'附件4 规划外'!J12</f>
        <v>1495</v>
      </c>
      <c r="AD17">
        <f>'附件4 规划外'!K12</f>
        <v>1495</v>
      </c>
      <c r="AE17" t="str">
        <f>'附件4 规划外'!L12</f>
        <v>正在实施</v>
      </c>
      <c r="AF17" s="26">
        <f>'附件4 规划外'!M12</f>
        <v>44652</v>
      </c>
      <c r="AG17" s="26">
        <f>'附件4 规划外'!N12</f>
        <v>45047</v>
      </c>
      <c r="AH17" t="str">
        <f>'附件4 规划外'!O12</f>
        <v>市水利局</v>
      </c>
      <c r="AI17" t="str">
        <f>'附件4 规划外'!P12</f>
        <v>通许县</v>
      </c>
      <c r="AJ17">
        <f>'附件4 规划外'!Q12</f>
        <v>0</v>
      </c>
      <c r="AK17">
        <f>'附件4 规划外'!R12</f>
        <v>0</v>
      </c>
    </row>
    <row r="18" spans="1:37">
      <c r="A18">
        <f>'附件3 规划内'!A21</f>
        <v>20</v>
      </c>
      <c r="B18" t="str">
        <f>'附件3 规划内'!B21</f>
        <v>耿武沟刘庄闸</v>
      </c>
      <c r="C18" t="str">
        <f>'附件3 规划内'!C21</f>
        <v>水利</v>
      </c>
      <c r="D18" t="str">
        <f>'附件3 规划内'!D21</f>
        <v>闸室整体损坏修复</v>
      </c>
      <c r="E18">
        <f>'附件3 规划内'!E21</f>
        <v>8</v>
      </c>
      <c r="F18">
        <f>'附件3 规划内'!F21</f>
        <v>0</v>
      </c>
      <c r="G18">
        <f>'附件3 规划内'!G21</f>
        <v>8</v>
      </c>
      <c r="H18">
        <f>'附件3 规划内'!H21</f>
        <v>0</v>
      </c>
      <c r="I18" t="str">
        <f>'附件3 规划内'!I21</f>
        <v>完工</v>
      </c>
      <c r="J18">
        <f>'附件3 规划内'!J21</f>
        <v>8</v>
      </c>
      <c r="K18">
        <f>'附件3 规划内'!K21</f>
        <v>8</v>
      </c>
      <c r="L18">
        <f>'附件3 规划内'!L21</f>
        <v>0</v>
      </c>
      <c r="M18" s="26">
        <f>'附件3 规划内'!M21</f>
        <v>44531</v>
      </c>
      <c r="N18" s="26">
        <f>'附件3 规划内'!N21</f>
        <v>44696</v>
      </c>
      <c r="O18" t="str">
        <f>'附件3 规划内'!O21</f>
        <v>市水利局</v>
      </c>
      <c r="P18" t="str">
        <f>'附件3 规划内'!P21</f>
        <v>尉氏县</v>
      </c>
      <c r="T18">
        <f>'附件4 规划外'!A13</f>
        <v>12</v>
      </c>
      <c r="U18" t="str">
        <f>'附件4 规划外'!B13</f>
        <v>河南省开封市祥符区铁底河治理工程</v>
      </c>
      <c r="V18" t="str">
        <f>'附件4 规划外'!C13</f>
        <v>水利</v>
      </c>
      <c r="W18" t="str">
        <f>'附件4 规划外'!D13</f>
        <v>本次治理范围15+690（开通县界）～0+000（惠济河口）。治理河段清淤15.69km（桩号15+690～0+000）。重建跨河桥梁12座，重建进水闸1座，新建进水闸2座。</v>
      </c>
      <c r="X18">
        <f>'附件4 规划外'!E13</f>
        <v>1432</v>
      </c>
      <c r="Y18">
        <f>'附件4 规划外'!F13</f>
        <v>0</v>
      </c>
      <c r="Z18">
        <f>'附件4 规划外'!G13</f>
        <v>1432</v>
      </c>
      <c r="AA18">
        <f>'附件4 规划外'!H13</f>
        <v>0</v>
      </c>
      <c r="AB18" t="str">
        <f>'附件4 规划外'!I13</f>
        <v>完工</v>
      </c>
      <c r="AC18">
        <f>'附件4 规划外'!J13</f>
        <v>1432</v>
      </c>
      <c r="AD18">
        <f>'附件4 规划外'!K13</f>
        <v>1432</v>
      </c>
      <c r="AE18" t="str">
        <f>'附件4 规划外'!L13</f>
        <v>已完成</v>
      </c>
      <c r="AF18" s="26">
        <f>'附件4 规划外'!M13</f>
        <v>44501</v>
      </c>
      <c r="AG18" s="26">
        <f>'附件4 规划外'!N13</f>
        <v>44682</v>
      </c>
      <c r="AH18" t="str">
        <f>'附件4 规划外'!O13</f>
        <v>市水利局</v>
      </c>
      <c r="AI18" t="str">
        <f>'附件4 规划外'!P13</f>
        <v>祥符区</v>
      </c>
      <c r="AJ18">
        <f>'附件4 规划外'!Q13</f>
        <v>0</v>
      </c>
      <c r="AK18">
        <f>'附件4 规划外'!R13</f>
        <v>0</v>
      </c>
    </row>
    <row r="19" spans="1:37">
      <c r="A19">
        <f>'附件3 规划内'!A22</f>
        <v>21</v>
      </c>
      <c r="B19" t="str">
        <f>'附件3 规划内'!B22</f>
        <v>除害河马口闸</v>
      </c>
      <c r="C19" t="str">
        <f>'附件3 规划内'!C22</f>
        <v>水利</v>
      </c>
      <c r="D19" t="str">
        <f>'附件3 规划内'!D22</f>
        <v>翼墙损毁、闸门缺失，启闭设施缺失修复</v>
      </c>
      <c r="E19">
        <f>'附件3 规划内'!E22</f>
        <v>8</v>
      </c>
      <c r="F19">
        <f>'附件3 规划内'!F22</f>
        <v>0</v>
      </c>
      <c r="G19">
        <f>'附件3 规划内'!G22</f>
        <v>8</v>
      </c>
      <c r="H19">
        <f>'附件3 规划内'!H22</f>
        <v>0</v>
      </c>
      <c r="I19" t="str">
        <f>'附件3 规划内'!I22</f>
        <v>完工</v>
      </c>
      <c r="J19">
        <f>'附件3 规划内'!J22</f>
        <v>8</v>
      </c>
      <c r="K19">
        <f>'附件3 规划内'!K22</f>
        <v>8</v>
      </c>
      <c r="L19">
        <f>'附件3 规划内'!L22</f>
        <v>0</v>
      </c>
      <c r="M19" s="26">
        <f>'附件3 规划内'!M22</f>
        <v>44531</v>
      </c>
      <c r="N19" s="26">
        <f>'附件3 规划内'!N22</f>
        <v>44696</v>
      </c>
      <c r="O19" t="str">
        <f>'附件3 规划内'!O22</f>
        <v>市水利局</v>
      </c>
      <c r="P19" t="str">
        <f>'附件3 规划内'!P22</f>
        <v>尉氏县</v>
      </c>
      <c r="T19">
        <f>'附件4 规划外'!A14</f>
        <v>14</v>
      </c>
      <c r="U19" t="str">
        <f>'附件4 规划外'!B14</f>
        <v>开封市祥符区惠济河生态治理项目</v>
      </c>
      <c r="V19" t="str">
        <f>'附件4 规划外'!C14</f>
        <v>水利</v>
      </c>
      <c r="W19" t="str">
        <f>'附件4 规划外'!D14</f>
        <v>堤防修筑、景观、绿化河道清淤、生态堤坝和驳岸工程和配套湿地建设等。</v>
      </c>
      <c r="X19">
        <f>'附件4 规划外'!E14</f>
        <v>53200</v>
      </c>
      <c r="Y19">
        <f>'附件4 规划外'!F14</f>
        <v>0</v>
      </c>
      <c r="Z19">
        <f>'附件4 规划外'!G14</f>
        <v>53200</v>
      </c>
      <c r="AA19">
        <f>'附件4 规划外'!H14</f>
        <v>0</v>
      </c>
      <c r="AB19" t="str">
        <f>'附件4 规划外'!I14</f>
        <v>在建</v>
      </c>
      <c r="AC19">
        <f>'附件4 规划外'!J14</f>
        <v>52700</v>
      </c>
      <c r="AD19">
        <f>'附件4 规划外'!K14</f>
        <v>52700</v>
      </c>
      <c r="AE19" t="str">
        <f>'附件4 规划外'!L14</f>
        <v>正在实施</v>
      </c>
      <c r="AF19" s="26">
        <f>'附件4 规划外'!M14</f>
        <v>44409</v>
      </c>
      <c r="AG19" s="26">
        <f>'附件4 规划外'!N14</f>
        <v>44896</v>
      </c>
      <c r="AH19" t="str">
        <f>'附件4 规划外'!O14</f>
        <v>市水利局</v>
      </c>
      <c r="AI19" t="str">
        <f>'附件4 规划外'!P14</f>
        <v>祥符区</v>
      </c>
      <c r="AJ19">
        <f>'附件4 规划外'!Q14</f>
        <v>0</v>
      </c>
      <c r="AK19">
        <f>'附件4 规划外'!R14</f>
        <v>0</v>
      </c>
    </row>
    <row r="20" spans="1:37">
      <c r="A20">
        <f>'附件3 规划内'!A23</f>
        <v>22</v>
      </c>
      <c r="B20" t="str">
        <f>'附件3 规划内'!B23</f>
        <v>贾黎沟西黎岗闸</v>
      </c>
      <c r="C20" t="str">
        <f>'附件3 规划内'!C23</f>
        <v>水利</v>
      </c>
      <c r="D20" t="str">
        <f>'附件3 规划内'!D23</f>
        <v>闸室整体损坏修复</v>
      </c>
      <c r="E20">
        <f>'附件3 规划内'!E23</f>
        <v>8</v>
      </c>
      <c r="F20">
        <f>'附件3 规划内'!F23</f>
        <v>0</v>
      </c>
      <c r="G20">
        <f>'附件3 规划内'!G23</f>
        <v>8</v>
      </c>
      <c r="H20">
        <f>'附件3 规划内'!H23</f>
        <v>0</v>
      </c>
      <c r="I20" t="str">
        <f>'附件3 规划内'!I23</f>
        <v>完工</v>
      </c>
      <c r="J20">
        <f>'附件3 规划内'!J23</f>
        <v>8</v>
      </c>
      <c r="K20">
        <f>'附件3 规划内'!K23</f>
        <v>8</v>
      </c>
      <c r="L20">
        <f>'附件3 规划内'!L23</f>
        <v>0</v>
      </c>
      <c r="M20" s="26">
        <f>'附件3 规划内'!M23</f>
        <v>44531</v>
      </c>
      <c r="N20" s="26">
        <f>'附件3 规划内'!N23</f>
        <v>44696</v>
      </c>
      <c r="O20" t="str">
        <f>'附件3 规划内'!O23</f>
        <v>市水利局</v>
      </c>
      <c r="P20" t="str">
        <f>'附件3 规划内'!P23</f>
        <v>尉氏县</v>
      </c>
      <c r="T20">
        <f>'附件4 规划外'!A15</f>
        <v>15</v>
      </c>
      <c r="U20" t="str">
        <f>'附件4 规划外'!B15</f>
        <v>惠济河（大广高速-开杞路段）治理工程项目</v>
      </c>
      <c r="V20" t="str">
        <f>'附件4 规划外'!C15</f>
        <v>水利</v>
      </c>
      <c r="W20" t="str">
        <f>'附件4 规划外'!D15</f>
        <v>建设包含河堤行道树 1540 株，路肩绿化 15386 ㎡，堤坝坡面绿化 115395 ㎡，滩地绿化 415422 ㎡，公共卫生间 6 个，驿站节点 2400 ㎡，灯具310 盏，给水 7693m。建设包括道路 38465 ㎡，路堤土方 161285m³，滩地提升393000m³，河道清淤 613080m³。建设内容包含道路提升 1600m，道路两侧绿化提升3200m，建筑民俗、小吃街改建 30 个，观光节点 10 个，林果采摘 150100㎡。</v>
      </c>
      <c r="X20">
        <f>'附件4 规划外'!E15</f>
        <v>13846.2</v>
      </c>
      <c r="Y20">
        <f>'附件4 规划外'!F15</f>
        <v>0</v>
      </c>
      <c r="Z20">
        <f>'附件4 规划外'!G15</f>
        <v>13846.2</v>
      </c>
      <c r="AA20">
        <f>'附件4 规划外'!H15</f>
        <v>0</v>
      </c>
      <c r="AB20" t="str">
        <f>'附件4 规划外'!I15</f>
        <v>在建</v>
      </c>
      <c r="AC20">
        <f>'附件4 规划外'!J15</f>
        <v>12600</v>
      </c>
      <c r="AD20">
        <f>'附件4 规划外'!K15</f>
        <v>12600</v>
      </c>
      <c r="AE20" t="str">
        <f>'附件4 规划外'!L15</f>
        <v>正在实施</v>
      </c>
      <c r="AF20" s="26">
        <f>'附件4 规划外'!M15</f>
        <v>44470</v>
      </c>
      <c r="AG20" s="26">
        <f>'附件4 规划外'!N15</f>
        <v>44743</v>
      </c>
      <c r="AH20" t="str">
        <f>'附件4 规划外'!O15</f>
        <v>市水利局</v>
      </c>
      <c r="AI20" t="str">
        <f>'附件4 规划外'!P15</f>
        <v>祥符区</v>
      </c>
      <c r="AJ20">
        <f>'附件4 规划外'!Q15</f>
        <v>0</v>
      </c>
      <c r="AK20">
        <f>'附件4 规划外'!R15</f>
        <v>0</v>
      </c>
    </row>
    <row r="21" spans="1:37">
      <c r="A21">
        <f>'附件3 规划内'!A24</f>
        <v>23</v>
      </c>
      <c r="B21" t="str">
        <f>'附件3 规划内'!B24</f>
        <v>小营闸</v>
      </c>
      <c r="C21" t="str">
        <f>'附件3 规划内'!C24</f>
        <v>水利</v>
      </c>
      <c r="D21" t="str">
        <f>'附件3 规划内'!D24</f>
        <v>启闭设施缺失修复</v>
      </c>
      <c r="E21">
        <f>'附件3 规划内'!E24</f>
        <v>8</v>
      </c>
      <c r="F21">
        <f>'附件3 规划内'!F24</f>
        <v>0</v>
      </c>
      <c r="G21">
        <f>'附件3 规划内'!G24</f>
        <v>8</v>
      </c>
      <c r="H21">
        <f>'附件3 规划内'!H24</f>
        <v>0</v>
      </c>
      <c r="I21" t="str">
        <f>'附件3 规划内'!I24</f>
        <v>完工</v>
      </c>
      <c r="J21">
        <f>'附件3 规划内'!J24</f>
        <v>8</v>
      </c>
      <c r="K21">
        <f>'附件3 规划内'!K24</f>
        <v>8</v>
      </c>
      <c r="L21">
        <f>'附件3 规划内'!L24</f>
        <v>0</v>
      </c>
      <c r="M21" s="26">
        <f>'附件3 规划内'!M24</f>
        <v>44531</v>
      </c>
      <c r="N21" s="26">
        <f>'附件3 规划内'!N24</f>
        <v>44696</v>
      </c>
      <c r="O21" t="str">
        <f>'附件3 规划内'!O24</f>
        <v>市水利局</v>
      </c>
      <c r="P21" t="str">
        <f>'附件3 规划内'!P24</f>
        <v>尉氏县</v>
      </c>
      <c r="T21">
        <f>'附件4 规划外'!A16</f>
        <v>16</v>
      </c>
      <c r="U21" t="str">
        <f>'附件4 规划外'!B16</f>
        <v>兰考县黄蔡河提升工程</v>
      </c>
      <c r="V21" t="str">
        <f>'附件4 规划外'!C16</f>
        <v>水利</v>
      </c>
      <c r="W21" t="str">
        <f>'附件4 规划外'!D16</f>
        <v>河道清淤长36.85公里，清淤土方258万m³；堤防加固长10.3km，土方回填22.7万m³；拆除重建胡里闸、李家滩节制闸2座</v>
      </c>
      <c r="X21">
        <f>'附件4 规划外'!E16</f>
        <v>9800</v>
      </c>
      <c r="Y21">
        <f>'附件4 规划外'!F16</f>
        <v>0</v>
      </c>
      <c r="Z21">
        <f>'附件4 规划外'!G16</f>
        <v>9800</v>
      </c>
      <c r="AA21">
        <f>'附件4 规划外'!H16</f>
        <v>0</v>
      </c>
      <c r="AB21" t="str">
        <f>'附件4 规划外'!I16</f>
        <v>完工</v>
      </c>
      <c r="AC21">
        <f>'附件4 规划外'!J16</f>
        <v>9800</v>
      </c>
      <c r="AD21">
        <f>'附件4 规划外'!K16</f>
        <v>9800</v>
      </c>
      <c r="AE21" t="str">
        <f>'附件4 规划外'!L16</f>
        <v>已完成</v>
      </c>
      <c r="AF21" s="26">
        <f>'附件4 规划外'!M16</f>
        <v>44531</v>
      </c>
      <c r="AG21" s="26">
        <f>'附件4 规划外'!N16</f>
        <v>44772</v>
      </c>
      <c r="AH21" t="str">
        <f>'附件4 规划外'!O16</f>
        <v>市水利局</v>
      </c>
      <c r="AI21" t="str">
        <f>'附件4 规划外'!P16</f>
        <v>兰考县</v>
      </c>
      <c r="AJ21">
        <f>'附件4 规划外'!Q16</f>
        <v>0</v>
      </c>
      <c r="AK21" t="str">
        <f>'附件4 规划外'!R16</f>
        <v>7.20洪水过后，该河道以防灾减灾（达标提升）工程申请上级资金，上级未纳入灾后重建规划项目，我县通过去冬今春五项重点工作进行河道疏浚工作，目前已完成河道疏浚工作，配套建筑物进行了维修，满足今汛安全。</v>
      </c>
    </row>
    <row r="22" spans="1:37">
      <c r="A22">
        <f>'附件3 规划内'!A25</f>
        <v>24</v>
      </c>
      <c r="B22" t="str">
        <f>'附件3 规划内'!B25</f>
        <v>文家闸2</v>
      </c>
      <c r="C22" t="str">
        <f>'附件3 规划内'!C25</f>
        <v>水利</v>
      </c>
      <c r="D22" t="str">
        <f>'附件3 规划内'!D25</f>
        <v>闸室水毁修复</v>
      </c>
      <c r="E22">
        <f>'附件3 规划内'!E25</f>
        <v>8</v>
      </c>
      <c r="F22">
        <f>'附件3 规划内'!F25</f>
        <v>0</v>
      </c>
      <c r="G22">
        <f>'附件3 规划内'!G25</f>
        <v>8</v>
      </c>
      <c r="H22">
        <f>'附件3 规划内'!H25</f>
        <v>0</v>
      </c>
      <c r="I22" t="str">
        <f>'附件3 规划内'!I25</f>
        <v>完工</v>
      </c>
      <c r="J22">
        <f>'附件3 规划内'!J25</f>
        <v>8</v>
      </c>
      <c r="K22">
        <f>'附件3 规划内'!K25</f>
        <v>8</v>
      </c>
      <c r="L22">
        <f>'附件3 规划内'!L25</f>
        <v>0</v>
      </c>
      <c r="M22" s="26">
        <f>'附件3 规划内'!M25</f>
        <v>44531</v>
      </c>
      <c r="N22" s="26">
        <f>'附件3 规划内'!N25</f>
        <v>44696</v>
      </c>
      <c r="O22" t="str">
        <f>'附件3 规划内'!O25</f>
        <v>市水利局</v>
      </c>
      <c r="P22" t="str">
        <f>'附件3 规划内'!P25</f>
        <v>尉氏县</v>
      </c>
      <c r="T22">
        <f>'附件4 规划外'!A17</f>
        <v>17</v>
      </c>
      <c r="U22" t="str">
        <f>'附件4 规划外'!B17</f>
        <v>兰考县四明河提升工程</v>
      </c>
      <c r="V22" t="str">
        <f>'附件4 规划外'!C17</f>
        <v>水利</v>
      </c>
      <c r="W22" t="str">
        <f>'附件4 规划外'!D17</f>
        <v>河道清淤长33.02公里，清淤土方180.6万m³；堤防加固长9.0km，土方回填9.9万m³；新建（重建）生产桥7座，险工段边坡防护长3.5km</v>
      </c>
      <c r="X22">
        <f>'附件4 规划外'!E17</f>
        <v>6700</v>
      </c>
      <c r="Y22">
        <f>'附件4 规划外'!F17</f>
        <v>0</v>
      </c>
      <c r="Z22">
        <f>'附件4 规划外'!G17</f>
        <v>6700</v>
      </c>
      <c r="AA22">
        <f>'附件4 规划外'!H17</f>
        <v>0</v>
      </c>
      <c r="AB22" t="str">
        <f>'附件4 规划外'!I17</f>
        <v>完工</v>
      </c>
      <c r="AC22">
        <f>'附件4 规划外'!J17</f>
        <v>6700</v>
      </c>
      <c r="AD22">
        <f>'附件4 规划外'!K17</f>
        <v>6700</v>
      </c>
      <c r="AE22" t="str">
        <f>'附件4 规划外'!L17</f>
        <v>已完成</v>
      </c>
      <c r="AF22" s="26">
        <f>'附件4 规划外'!M17</f>
        <v>44531</v>
      </c>
      <c r="AG22" s="26">
        <f>'附件4 规划外'!N17</f>
        <v>44772</v>
      </c>
      <c r="AH22" t="str">
        <f>'附件4 规划外'!O17</f>
        <v>市水利局</v>
      </c>
      <c r="AI22" t="str">
        <f>'附件4 规划外'!P17</f>
        <v>兰考县</v>
      </c>
      <c r="AJ22">
        <f>'附件4 规划外'!Q17</f>
        <v>0</v>
      </c>
      <c r="AK22" t="str">
        <f>'附件4 规划外'!R17</f>
        <v>7.20洪水过后，该河道以防灾减灾（达标提升）工程申请上级资金，上级未纳入灾后重建规划项目，我县通过去冬今春五项重点工作进行河道疏浚工作，目前已完成河道疏浚工作，配套建筑物进行了维修，满足今汛安全。</v>
      </c>
    </row>
    <row r="23" spans="1:16">
      <c r="A23">
        <f>'附件3 规划内'!A26</f>
        <v>25</v>
      </c>
      <c r="B23" t="str">
        <f>'附件3 规划内'!B26</f>
        <v>后黄闸</v>
      </c>
      <c r="C23" t="str">
        <f>'附件3 规划内'!C26</f>
        <v>水利</v>
      </c>
      <c r="D23" t="str">
        <f>'附件3 规划内'!D26</f>
        <v>闸室水毁修复</v>
      </c>
      <c r="E23">
        <f>'附件3 规划内'!E26</f>
        <v>8</v>
      </c>
      <c r="F23">
        <f>'附件3 规划内'!F26</f>
        <v>0</v>
      </c>
      <c r="G23">
        <f>'附件3 规划内'!G26</f>
        <v>8</v>
      </c>
      <c r="H23">
        <f>'附件3 规划内'!H26</f>
        <v>0</v>
      </c>
      <c r="I23" t="str">
        <f>'附件3 规划内'!I26</f>
        <v>完工</v>
      </c>
      <c r="J23">
        <f>'附件3 规划内'!J26</f>
        <v>8</v>
      </c>
      <c r="K23">
        <f>'附件3 规划内'!K26</f>
        <v>8</v>
      </c>
      <c r="L23">
        <f>'附件3 规划内'!L26</f>
        <v>0</v>
      </c>
      <c r="M23" s="26">
        <f>'附件3 规划内'!M26</f>
        <v>44531</v>
      </c>
      <c r="N23" s="26">
        <f>'附件3 规划内'!N26</f>
        <v>44696</v>
      </c>
      <c r="O23" t="str">
        <f>'附件3 规划内'!O26</f>
        <v>市水利局</v>
      </c>
      <c r="P23" t="str">
        <f>'附件3 规划内'!P26</f>
        <v>尉氏县</v>
      </c>
    </row>
    <row r="24" spans="1:16">
      <c r="A24">
        <f>'附件3 规划内'!A27</f>
        <v>26</v>
      </c>
      <c r="B24" t="str">
        <f>'附件3 规划内'!B27</f>
        <v>明改沟防洪排涝闸</v>
      </c>
      <c r="C24" t="str">
        <f>'附件3 规划内'!C27</f>
        <v>水利</v>
      </c>
      <c r="D24" t="str">
        <f>'附件3 规划内'!D27</f>
        <v>启闭机、闸门、电机损毁严重修复</v>
      </c>
      <c r="E24">
        <f>'附件3 规划内'!E27</f>
        <v>10</v>
      </c>
      <c r="F24">
        <f>'附件3 规划内'!F27</f>
        <v>0</v>
      </c>
      <c r="G24">
        <f>'附件3 规划内'!G27</f>
        <v>10</v>
      </c>
      <c r="H24">
        <f>'附件3 规划内'!H27</f>
        <v>0</v>
      </c>
      <c r="I24" t="str">
        <f>'附件3 规划内'!I27</f>
        <v>完工</v>
      </c>
      <c r="J24">
        <f>'附件3 规划内'!J27</f>
        <v>10</v>
      </c>
      <c r="K24">
        <f>'附件3 规划内'!K27</f>
        <v>10</v>
      </c>
      <c r="L24">
        <f>'附件3 规划内'!L27</f>
        <v>0</v>
      </c>
      <c r="M24" s="26">
        <f>'附件3 规划内'!M27</f>
        <v>44531</v>
      </c>
      <c r="N24" s="26">
        <f>'附件3 规划内'!N27</f>
        <v>44696</v>
      </c>
      <c r="O24" t="str">
        <f>'附件3 规划内'!O27</f>
        <v>市水利局</v>
      </c>
      <c r="P24" t="str">
        <f>'附件3 规划内'!P27</f>
        <v>尉氏县</v>
      </c>
    </row>
    <row r="25" spans="1:16">
      <c r="A25">
        <f>'附件3 规划内'!A28</f>
        <v>27</v>
      </c>
      <c r="B25" t="str">
        <f>'附件3 规划内'!B28</f>
        <v>刘麦河闸</v>
      </c>
      <c r="C25" t="str">
        <f>'附件3 规划内'!C28</f>
        <v>水利</v>
      </c>
      <c r="D25" t="str">
        <f>'附件3 规划内'!D28</f>
        <v>闸室、上下游翼墙水毁修复</v>
      </c>
      <c r="E25">
        <f>'附件3 规划内'!E28</f>
        <v>50</v>
      </c>
      <c r="F25">
        <f>'附件3 规划内'!F28</f>
        <v>0</v>
      </c>
      <c r="G25">
        <f>'附件3 规划内'!G28</f>
        <v>50</v>
      </c>
      <c r="H25">
        <f>'附件3 规划内'!H28</f>
        <v>0</v>
      </c>
      <c r="I25" t="str">
        <f>'附件3 规划内'!I28</f>
        <v>完工</v>
      </c>
      <c r="J25">
        <f>'附件3 规划内'!J28</f>
        <v>50</v>
      </c>
      <c r="K25">
        <f>'附件3 规划内'!K28</f>
        <v>50</v>
      </c>
      <c r="L25">
        <f>'附件3 规划内'!L28</f>
        <v>0</v>
      </c>
      <c r="M25" s="26">
        <f>'附件3 规划内'!M28</f>
        <v>44531</v>
      </c>
      <c r="N25" s="26">
        <f>'附件3 规划内'!N28</f>
        <v>44696</v>
      </c>
      <c r="O25" t="str">
        <f>'附件3 规划内'!O28</f>
        <v>市水利局</v>
      </c>
      <c r="P25" t="str">
        <f>'附件3 规划内'!P28</f>
        <v>尉氏县</v>
      </c>
    </row>
    <row r="26" spans="1:16">
      <c r="A26">
        <f>'附件3 规划内'!A29</f>
        <v>28</v>
      </c>
      <c r="B26" t="str">
        <f>'附件3 规划内'!B29</f>
        <v>密家段1</v>
      </c>
      <c r="C26" t="str">
        <f>'附件3 规划内'!C29</f>
        <v>水利</v>
      </c>
      <c r="D26" t="str">
        <f>'附件3 规划内'!D29</f>
        <v>闸室、上下游翼墙水毁修复</v>
      </c>
      <c r="E26">
        <f>'附件3 规划内'!E29</f>
        <v>8</v>
      </c>
      <c r="F26">
        <f>'附件3 规划内'!F29</f>
        <v>0</v>
      </c>
      <c r="G26">
        <f>'附件3 规划内'!G29</f>
        <v>8</v>
      </c>
      <c r="H26">
        <f>'附件3 规划内'!H29</f>
        <v>0</v>
      </c>
      <c r="I26" t="str">
        <f>'附件3 规划内'!I29</f>
        <v>完工</v>
      </c>
      <c r="J26">
        <f>'附件3 规划内'!J29</f>
        <v>8</v>
      </c>
      <c r="K26">
        <f>'附件3 规划内'!K29</f>
        <v>8</v>
      </c>
      <c r="L26">
        <f>'附件3 规划内'!L29</f>
        <v>0</v>
      </c>
      <c r="M26" s="26">
        <f>'附件3 规划内'!M29</f>
        <v>44531</v>
      </c>
      <c r="N26" s="26">
        <f>'附件3 规划内'!N29</f>
        <v>44696</v>
      </c>
      <c r="O26" t="str">
        <f>'附件3 规划内'!O29</f>
        <v>市水利局</v>
      </c>
      <c r="P26" t="str">
        <f>'附件3 规划内'!P29</f>
        <v>尉氏县</v>
      </c>
    </row>
    <row r="27" spans="1:16">
      <c r="A27">
        <f>'附件3 规划内'!A30</f>
        <v>29</v>
      </c>
      <c r="B27" t="str">
        <f>'附件3 规划内'!B30</f>
        <v>密家段2</v>
      </c>
      <c r="C27" t="str">
        <f>'附件3 规划内'!C30</f>
        <v>水利</v>
      </c>
      <c r="D27" t="str">
        <f>'附件3 规划内'!D30</f>
        <v>闸室、上下游翼墙水毁修复</v>
      </c>
      <c r="E27">
        <f>'附件3 规划内'!E30</f>
        <v>8</v>
      </c>
      <c r="F27">
        <f>'附件3 规划内'!F30</f>
        <v>0</v>
      </c>
      <c r="G27">
        <f>'附件3 规划内'!G30</f>
        <v>8</v>
      </c>
      <c r="H27">
        <f>'附件3 规划内'!H30</f>
        <v>0</v>
      </c>
      <c r="I27" t="str">
        <f>'附件3 规划内'!I30</f>
        <v>完工</v>
      </c>
      <c r="J27">
        <f>'附件3 规划内'!J30</f>
        <v>8</v>
      </c>
      <c r="K27">
        <f>'附件3 规划内'!K30</f>
        <v>8</v>
      </c>
      <c r="L27">
        <f>'附件3 规划内'!L30</f>
        <v>0</v>
      </c>
      <c r="M27" s="26">
        <f>'附件3 规划内'!M30</f>
        <v>44531</v>
      </c>
      <c r="N27" s="26">
        <f>'附件3 规划内'!N30</f>
        <v>44696</v>
      </c>
      <c r="O27" t="str">
        <f>'附件3 规划内'!O30</f>
        <v>市水利局</v>
      </c>
      <c r="P27" t="str">
        <f>'附件3 规划内'!P30</f>
        <v>尉氏县</v>
      </c>
    </row>
    <row r="28" spans="1:16">
      <c r="A28">
        <f>'附件3 规划内'!A31</f>
        <v>30</v>
      </c>
      <c r="B28" t="str">
        <f>'附件3 规划内'!B31</f>
        <v>涡河裴庄节制闸</v>
      </c>
      <c r="C28" t="str">
        <f>'附件3 规划内'!C31</f>
        <v>水利</v>
      </c>
      <c r="D28" t="str">
        <f>'附件3 规划内'!D31</f>
        <v>上下游护坡水毁冲空；管理所院墙、屋顶等损坏修复</v>
      </c>
      <c r="E28">
        <f>'附件3 规划内'!E31</f>
        <v>22.5</v>
      </c>
      <c r="F28">
        <f>'附件3 规划内'!F31</f>
        <v>22.5</v>
      </c>
      <c r="G28">
        <f>'附件3 规划内'!G31</f>
        <v>0</v>
      </c>
      <c r="H28">
        <f>'附件3 规划内'!H31</f>
        <v>0</v>
      </c>
      <c r="I28" t="str">
        <f>'附件3 规划内'!I31</f>
        <v>完工</v>
      </c>
      <c r="J28">
        <f>'附件3 规划内'!J31</f>
        <v>22.5</v>
      </c>
      <c r="K28" t="str">
        <f>'附件3 规划内'!K31</f>
        <v/>
      </c>
      <c r="L28">
        <f>'附件3 规划内'!L31</f>
        <v>0</v>
      </c>
      <c r="M28" s="26">
        <f>'附件3 规划内'!M31</f>
        <v>44567</v>
      </c>
      <c r="N28" s="26">
        <f>'附件3 规划内'!N31</f>
        <v>44696</v>
      </c>
      <c r="O28" t="str">
        <f>'附件3 规划内'!O31</f>
        <v>市水利局</v>
      </c>
      <c r="P28" t="str">
        <f>'附件3 规划内'!P31</f>
        <v>通许县</v>
      </c>
    </row>
    <row r="29" spans="1:16">
      <c r="A29">
        <f>'附件3 规划内'!A32</f>
        <v>31</v>
      </c>
      <c r="B29" t="str">
        <f>'附件3 规划内'!B32</f>
        <v>涡河箍桶刘节制闸</v>
      </c>
      <c r="C29" t="str">
        <f>'附件3 规划内'!C32</f>
        <v>水利</v>
      </c>
      <c r="D29" t="str">
        <f>'附件3 规划内'!D32</f>
        <v>部分启闭设施损坏修复</v>
      </c>
      <c r="E29">
        <f>'附件3 规划内'!E32</f>
        <v>15</v>
      </c>
      <c r="F29">
        <f>'附件3 规划内'!F32</f>
        <v>15</v>
      </c>
      <c r="G29">
        <f>'附件3 规划内'!G32</f>
        <v>0</v>
      </c>
      <c r="H29">
        <f>'附件3 规划内'!H32</f>
        <v>0</v>
      </c>
      <c r="I29" t="str">
        <f>'附件3 规划内'!I32</f>
        <v>完工</v>
      </c>
      <c r="J29">
        <f>'附件3 规划内'!J32</f>
        <v>15</v>
      </c>
      <c r="K29" t="str">
        <f>'附件3 规划内'!K32</f>
        <v/>
      </c>
      <c r="L29">
        <f>'附件3 规划内'!L32</f>
        <v>0</v>
      </c>
      <c r="M29" s="26">
        <f>'附件3 规划内'!M32</f>
        <v>44567</v>
      </c>
      <c r="N29" s="26">
        <f>'附件3 规划内'!N32</f>
        <v>44696</v>
      </c>
      <c r="O29" t="str">
        <f>'附件3 规划内'!O32</f>
        <v>市水利局</v>
      </c>
      <c r="P29" t="str">
        <f>'附件3 规划内'!P32</f>
        <v>通许县</v>
      </c>
    </row>
    <row r="30" spans="1:16">
      <c r="A30">
        <f>'附件3 规划内'!A33</f>
        <v>32</v>
      </c>
      <c r="B30" t="str">
        <f>'附件3 规划内'!B33</f>
        <v>赵口灌区西三干渠</v>
      </c>
      <c r="C30" t="str">
        <f>'附件3 规划内'!C33</f>
        <v>水利</v>
      </c>
      <c r="D30" t="str">
        <f>'附件3 规划内'!D33</f>
        <v>左岸岸坡及堤防坍塌10660m右岸岸坡及堤防坍塌15840m桥梁水毁13座涵3座支门损毁67个，文家支渠庄头镇文家村文家闸1座。邢庄乡西三干芦墓张村北100米右岸芦墓张支渠渠首闸1座。恢复并加固</v>
      </c>
      <c r="E30">
        <f>'附件3 规划内'!E33</f>
        <v>1302</v>
      </c>
      <c r="F30">
        <f>'附件3 规划内'!F33</f>
        <v>0</v>
      </c>
      <c r="G30">
        <f>'附件3 规划内'!G33</f>
        <v>1302</v>
      </c>
      <c r="H30">
        <f>'附件3 规划内'!H33</f>
        <v>0</v>
      </c>
      <c r="I30" t="str">
        <f>'附件3 规划内'!I33</f>
        <v>完工</v>
      </c>
      <c r="J30">
        <f>'附件3 规划内'!J33</f>
        <v>1302</v>
      </c>
      <c r="K30">
        <f>'附件3 规划内'!K33</f>
        <v>1302</v>
      </c>
      <c r="L30">
        <f>'附件3 规划内'!L33</f>
        <v>0</v>
      </c>
      <c r="M30" s="26">
        <f>'附件3 规划内'!M33</f>
        <v>44520</v>
      </c>
      <c r="N30" s="26">
        <f>'附件3 规划内'!N33</f>
        <v>44696</v>
      </c>
      <c r="O30" t="str">
        <f>'附件3 规划内'!O33</f>
        <v>市水利局</v>
      </c>
      <c r="P30" t="str">
        <f>'附件3 规划内'!P33</f>
        <v>尉氏县</v>
      </c>
    </row>
    <row r="31" spans="1:16">
      <c r="A31">
        <f>'附件3 规划内'!A34</f>
        <v>33</v>
      </c>
      <c r="B31" t="str">
        <f>'附件3 规划内'!B34</f>
        <v>赵口灌区东三干渠</v>
      </c>
      <c r="C31" t="str">
        <f>'附件3 规划内'!C34</f>
        <v>水利</v>
      </c>
      <c r="D31" t="str">
        <f>'附件3 规划内'!D34</f>
        <v>左岸岸坡及堤防坍塌8865m右岸岸坡及堤防坍塌9135m桥梁水毁3座、涵1座、支门损毁33个。恢复并加固</v>
      </c>
      <c r="E31">
        <f>'附件3 规划内'!E34</f>
        <v>694</v>
      </c>
      <c r="F31">
        <f>'附件3 规划内'!F34</f>
        <v>0</v>
      </c>
      <c r="G31">
        <f>'附件3 规划内'!G34</f>
        <v>694</v>
      </c>
      <c r="H31">
        <f>'附件3 规划内'!H34</f>
        <v>0</v>
      </c>
      <c r="I31" t="str">
        <f>'附件3 规划内'!I34</f>
        <v>完工</v>
      </c>
      <c r="J31">
        <f>'附件3 规划内'!J34</f>
        <v>694</v>
      </c>
      <c r="K31">
        <f>'附件3 规划内'!K34</f>
        <v>694</v>
      </c>
      <c r="L31">
        <f>'附件3 规划内'!L34</f>
        <v>0</v>
      </c>
      <c r="M31" s="26">
        <f>'附件3 规划内'!M34</f>
        <v>44520</v>
      </c>
      <c r="N31" s="26">
        <f>'附件3 规划内'!N34</f>
        <v>44681</v>
      </c>
      <c r="O31" t="str">
        <f>'附件3 规划内'!O34</f>
        <v>市水利局</v>
      </c>
      <c r="P31" t="str">
        <f>'附件3 规划内'!P34</f>
        <v>尉氏县</v>
      </c>
    </row>
    <row r="32" spans="1:16">
      <c r="A32">
        <f>'附件3 规划内'!A35</f>
        <v>34</v>
      </c>
      <c r="B32" t="str">
        <f>'附件3 规划内'!B35</f>
        <v>赵口灌区东三北干渠</v>
      </c>
      <c r="C32" t="str">
        <f>'附件3 规划内'!C35</f>
        <v>水利</v>
      </c>
      <c r="D32" t="str">
        <f>'附件3 规划内'!D35</f>
        <v>左岸岸坡及堤防坍塌6346m右岸岸坡及堤防坍塌3154m桥梁水毁5座、涵2座、支门损毁4个东三北干张市镇西万村村北350米万村节制闸1座。恢复并加固</v>
      </c>
      <c r="E32">
        <f>'附件3 规划内'!E35</f>
        <v>268</v>
      </c>
      <c r="F32">
        <f>'附件3 规划内'!F35</f>
        <v>0</v>
      </c>
      <c r="G32">
        <f>'附件3 规划内'!G35</f>
        <v>268</v>
      </c>
      <c r="H32">
        <f>'附件3 规划内'!H35</f>
        <v>0</v>
      </c>
      <c r="I32" t="str">
        <f>'附件3 规划内'!I35</f>
        <v>完工</v>
      </c>
      <c r="J32">
        <f>'附件3 规划内'!J35</f>
        <v>268</v>
      </c>
      <c r="K32">
        <f>'附件3 规划内'!K35</f>
        <v>268</v>
      </c>
      <c r="L32">
        <f>'附件3 规划内'!L35</f>
        <v>0</v>
      </c>
      <c r="M32" s="26">
        <f>'附件3 规划内'!M35</f>
        <v>44520</v>
      </c>
      <c r="N32" s="26">
        <f>'附件3 规划内'!N35</f>
        <v>44681</v>
      </c>
      <c r="O32" t="str">
        <f>'附件3 规划内'!O35</f>
        <v>市水利局</v>
      </c>
      <c r="P32" t="str">
        <f>'附件3 规划内'!P35</f>
        <v>尉氏县</v>
      </c>
    </row>
    <row r="33" spans="1:16">
      <c r="A33">
        <f>'附件3 规划内'!A36</f>
        <v>35</v>
      </c>
      <c r="B33" t="str">
        <f>'附件3 规划内'!B36</f>
        <v>赵口灌区东三南干渠</v>
      </c>
      <c r="C33" t="str">
        <f>'附件3 规划内'!C36</f>
        <v>水利</v>
      </c>
      <c r="D33" t="str">
        <f>'附件3 规划内'!D36</f>
        <v>左岸岸坡及堤防坍塌6632m右岸岸坡及堤防坍塌3968m桥梁水毁3座、涵1座、支门损毁34个。恢复并加固</v>
      </c>
      <c r="E33">
        <f>'附件3 规划内'!E36</f>
        <v>359</v>
      </c>
      <c r="F33">
        <f>'附件3 规划内'!F36</f>
        <v>0</v>
      </c>
      <c r="G33">
        <f>'附件3 规划内'!G36</f>
        <v>359</v>
      </c>
      <c r="H33">
        <f>'附件3 规划内'!H36</f>
        <v>0</v>
      </c>
      <c r="I33" t="str">
        <f>'附件3 规划内'!I36</f>
        <v>完工</v>
      </c>
      <c r="J33">
        <f>'附件3 规划内'!J36</f>
        <v>359</v>
      </c>
      <c r="K33">
        <f>'附件3 规划内'!K36</f>
        <v>359</v>
      </c>
      <c r="L33">
        <f>'附件3 规划内'!L36</f>
        <v>0</v>
      </c>
      <c r="M33" s="26">
        <f>'附件3 规划内'!M36</f>
        <v>44542</v>
      </c>
      <c r="N33" s="26">
        <f>'附件3 规划内'!N36</f>
        <v>44681</v>
      </c>
      <c r="O33" t="str">
        <f>'附件3 规划内'!O36</f>
        <v>市水利局</v>
      </c>
      <c r="P33" t="str">
        <f>'附件3 规划内'!P36</f>
        <v>尉氏县</v>
      </c>
    </row>
    <row r="34" spans="1:16">
      <c r="A34">
        <f>'附件3 规划内'!A37</f>
        <v>36</v>
      </c>
      <c r="B34" t="str">
        <f>'附件3 规划内'!B37</f>
        <v>赵口灌区竖岗分干渠</v>
      </c>
      <c r="C34" t="str">
        <f>'附件3 规划内'!C37</f>
        <v>水利</v>
      </c>
      <c r="D34" t="str">
        <f>'附件3 规划内'!D37</f>
        <v>左岸岸坡及堤防坍塌2603m右岸岸坡及堤防坍塌1697m桥梁水毁2座、支门损毁21个。恢复并加固</v>
      </c>
      <c r="E34">
        <f>'附件3 规划内'!E37</f>
        <v>88</v>
      </c>
      <c r="F34">
        <f>'附件3 规划内'!F37</f>
        <v>0</v>
      </c>
      <c r="G34">
        <f>'附件3 规划内'!G37</f>
        <v>88</v>
      </c>
      <c r="H34">
        <f>'附件3 规划内'!H37</f>
        <v>0</v>
      </c>
      <c r="I34" t="str">
        <f>'附件3 规划内'!I37</f>
        <v>完工</v>
      </c>
      <c r="J34">
        <f>'附件3 规划内'!J37</f>
        <v>88</v>
      </c>
      <c r="K34">
        <f>'附件3 规划内'!K37</f>
        <v>88</v>
      </c>
      <c r="L34">
        <f>'附件3 规划内'!L37</f>
        <v>0</v>
      </c>
      <c r="M34" s="26">
        <f>'附件3 规划内'!M37</f>
        <v>44540</v>
      </c>
      <c r="N34" s="26">
        <f>'附件3 规划内'!N37</f>
        <v>44681</v>
      </c>
      <c r="O34" t="str">
        <f>'附件3 规划内'!O37</f>
        <v>市水利局</v>
      </c>
      <c r="P34" t="str">
        <f>'附件3 规划内'!P37</f>
        <v>尉氏县</v>
      </c>
    </row>
    <row r="35" spans="1:16">
      <c r="A35">
        <f>'附件3 规划内'!A38</f>
        <v>37</v>
      </c>
      <c r="B35" t="str">
        <f>'附件3 规划内'!B38</f>
        <v>赵口灌区西三分干渠</v>
      </c>
      <c r="C35" t="str">
        <f>'附件3 规划内'!C38</f>
        <v>水利</v>
      </c>
      <c r="D35" t="str">
        <f>'附件3 规划内'!D38</f>
        <v>左岸岸坡及堤防坍塌4083m右岸岸坡及堤防坍塌3517m桥梁水毁8座、涵1座、支门损毁37个，西三分干渠首庄头镇前曹村前曹枢枢1座。恢复并加固</v>
      </c>
      <c r="E35">
        <f>'附件3 规划内'!E38</f>
        <v>559</v>
      </c>
      <c r="F35">
        <f>'附件3 规划内'!F38</f>
        <v>0</v>
      </c>
      <c r="G35">
        <f>'附件3 规划内'!G38</f>
        <v>559</v>
      </c>
      <c r="H35">
        <f>'附件3 规划内'!H38</f>
        <v>0</v>
      </c>
      <c r="I35" t="str">
        <f>'附件3 规划内'!I38</f>
        <v>完工</v>
      </c>
      <c r="J35">
        <f>'附件3 规划内'!J38</f>
        <v>559</v>
      </c>
      <c r="K35">
        <f>'附件3 规划内'!K38</f>
        <v>559</v>
      </c>
      <c r="L35">
        <f>'附件3 规划内'!L38</f>
        <v>0</v>
      </c>
      <c r="M35" s="26">
        <f>'附件3 规划内'!M38</f>
        <v>44510</v>
      </c>
      <c r="N35" s="26">
        <f>'附件3 规划内'!N38</f>
        <v>44681</v>
      </c>
      <c r="O35" t="str">
        <f>'附件3 规划内'!O38</f>
        <v>市水利局</v>
      </c>
      <c r="P35" t="str">
        <f>'附件3 规划内'!P38</f>
        <v>尉氏县</v>
      </c>
    </row>
    <row r="36" spans="1:16">
      <c r="A36">
        <f>'附件3 规划内'!A39</f>
        <v>38</v>
      </c>
      <c r="B36" t="str">
        <f>'附件3 规划内'!B39</f>
        <v>赵口灌区西干渠</v>
      </c>
      <c r="C36" t="str">
        <f>'附件3 规划内'!C39</f>
        <v>水利</v>
      </c>
      <c r="D36" t="str">
        <f>'附件3 规划内'!D39</f>
        <v>右岸9.2km堤防堤外坡滑坡沉陷，堤顶道路开裂损毁。左岸6km堤防堤外坡滑坡沉陷，出水口冲毁，闸门严重变形。堤防加固，拆除老砼堤顶道路，重新铺筑砼堤顶道路，重建2孔闸门</v>
      </c>
      <c r="E36">
        <f>'附件3 规划内'!E39</f>
        <v>847.5</v>
      </c>
      <c r="F36">
        <f>'附件3 规划内'!F39</f>
        <v>0</v>
      </c>
      <c r="G36">
        <f>'附件3 规划内'!G39</f>
        <v>847.5</v>
      </c>
      <c r="H36">
        <f>'附件3 规划内'!H39</f>
        <v>0</v>
      </c>
      <c r="I36" t="str">
        <f>'附件3 规划内'!I39</f>
        <v>完工</v>
      </c>
      <c r="J36">
        <f>'附件3 规划内'!J39</f>
        <v>847.5</v>
      </c>
      <c r="K36">
        <f>'附件3 规划内'!K39</f>
        <v>847.5</v>
      </c>
      <c r="L36">
        <f>'附件3 规划内'!L39</f>
        <v>0</v>
      </c>
      <c r="M36" s="26">
        <f>'附件3 规划内'!M39</f>
        <v>44553</v>
      </c>
      <c r="N36" s="26">
        <f>'附件3 规划内'!N39</f>
        <v>44682</v>
      </c>
      <c r="O36" t="str">
        <f>'附件3 规划内'!O39</f>
        <v>市水利局</v>
      </c>
      <c r="P36" t="str">
        <f>'附件3 规划内'!P39</f>
        <v>祥符区</v>
      </c>
    </row>
    <row r="37" spans="1:16">
      <c r="A37">
        <f>'附件3 规划内'!A40</f>
        <v>39</v>
      </c>
      <c r="B37" t="str">
        <f>'附件3 规划内'!B40</f>
        <v>赵口灌区东三干</v>
      </c>
      <c r="C37" t="str">
        <f>'附件3 规划内'!C40</f>
        <v>水利</v>
      </c>
      <c r="D37" t="str">
        <f>'附件3 规划内'!D40</f>
        <v>右岸堤防堤外坡滑坡沉陷，堤顶道路开裂损毁。左岸堤防堤外坡滑坡沉陷。堤防加固，拆除老砼堤顶道路，重新铺筑砼堤顶道路</v>
      </c>
      <c r="E37">
        <f>'附件3 规划内'!E40</f>
        <v>368</v>
      </c>
      <c r="F37">
        <f>'附件3 规划内'!F40</f>
        <v>0</v>
      </c>
      <c r="G37">
        <f>'附件3 规划内'!G40</f>
        <v>368</v>
      </c>
      <c r="H37">
        <f>'附件3 规划内'!H40</f>
        <v>0</v>
      </c>
      <c r="I37" t="str">
        <f>'附件3 规划内'!I40</f>
        <v>完工</v>
      </c>
      <c r="J37">
        <f>'附件3 规划内'!J40</f>
        <v>368</v>
      </c>
      <c r="K37">
        <f>'附件3 规划内'!K40</f>
        <v>368</v>
      </c>
      <c r="L37">
        <f>'附件3 规划内'!L40</f>
        <v>0</v>
      </c>
      <c r="M37" s="26">
        <f>'附件3 规划内'!M40</f>
        <v>44553</v>
      </c>
      <c r="N37" s="26">
        <f>'附件3 规划内'!N40</f>
        <v>44682</v>
      </c>
      <c r="O37" t="str">
        <f>'附件3 规划内'!O40</f>
        <v>市水利局</v>
      </c>
      <c r="P37" t="str">
        <f>'附件3 规划内'!P40</f>
        <v>祥符区</v>
      </c>
    </row>
    <row r="38" spans="1:16">
      <c r="A38">
        <f>'附件3 规划内'!A41</f>
        <v>40</v>
      </c>
      <c r="B38" t="str">
        <f>'附件3 规划内'!B41</f>
        <v>赵口灌区东三干与涡河连接段</v>
      </c>
      <c r="C38" t="str">
        <f>'附件3 规划内'!C41</f>
        <v>水利</v>
      </c>
      <c r="D38" t="str">
        <f>'附件3 规划内'!D41</f>
        <v>退水闸出水口浆砌石护坡冲毁，1100m河底冲涮超深0.7-1.2m，左、右岸护坡冲毁塌陷100块500m。退水闸出水口浆砌石护坡维修，1.1看km河底土方回填、衬砌，左、右岸护坡维修。</v>
      </c>
      <c r="E38">
        <f>'附件3 规划内'!E41</f>
        <v>166</v>
      </c>
      <c r="F38">
        <f>'附件3 规划内'!F41</f>
        <v>0</v>
      </c>
      <c r="G38">
        <f>'附件3 规划内'!G41</f>
        <v>166</v>
      </c>
      <c r="H38">
        <f>'附件3 规划内'!H41</f>
        <v>0</v>
      </c>
      <c r="I38" t="str">
        <f>'附件3 规划内'!I41</f>
        <v>完工</v>
      </c>
      <c r="J38">
        <f>'附件3 规划内'!J41</f>
        <v>166</v>
      </c>
      <c r="K38">
        <f>'附件3 规划内'!K41</f>
        <v>166</v>
      </c>
      <c r="L38">
        <f>'附件3 规划内'!L41</f>
        <v>0</v>
      </c>
      <c r="M38" s="26">
        <f>'附件3 规划内'!M41</f>
        <v>44553</v>
      </c>
      <c r="N38" s="26">
        <f>'附件3 规划内'!N41</f>
        <v>44682</v>
      </c>
      <c r="O38" t="str">
        <f>'附件3 规划内'!O41</f>
        <v>市水利局</v>
      </c>
      <c r="P38" t="str">
        <f>'附件3 规划内'!P41</f>
        <v>祥符区</v>
      </c>
    </row>
    <row r="39" spans="1:16">
      <c r="A39">
        <f>'附件3 规划内'!A42</f>
        <v>41</v>
      </c>
      <c r="B39" t="str">
        <f>'附件3 规划内'!B42</f>
        <v>水坡镇西水坡供水工程</v>
      </c>
      <c r="C39" t="str">
        <f>'附件3 规划内'!C42</f>
        <v>水利</v>
      </c>
      <c r="D39" t="str">
        <f>'附件3 规划内'!D42</f>
        <v>彭庄村管网损坏</v>
      </c>
      <c r="E39">
        <f>'附件3 规划内'!E42</f>
        <v>22.8</v>
      </c>
      <c r="F39">
        <f>'附件3 规划内'!F42</f>
        <v>0</v>
      </c>
      <c r="G39">
        <f>'附件3 规划内'!G42</f>
        <v>22.8</v>
      </c>
      <c r="H39">
        <f>'附件3 规划内'!H42</f>
        <v>0</v>
      </c>
      <c r="I39" t="str">
        <f>'附件3 规划内'!I42</f>
        <v>完工</v>
      </c>
      <c r="J39">
        <f>'附件3 规划内'!J42</f>
        <v>22.8</v>
      </c>
      <c r="K39">
        <f>'附件3 规划内'!K42</f>
        <v>22.8</v>
      </c>
      <c r="L39">
        <f>'附件3 规划内'!L42</f>
        <v>0</v>
      </c>
      <c r="M39" s="26">
        <f>'附件3 规划内'!M42</f>
        <v>44555</v>
      </c>
      <c r="N39" s="26">
        <f>'附件3 规划内'!N42</f>
        <v>44676</v>
      </c>
      <c r="O39" t="str">
        <f>'附件3 规划内'!O42</f>
        <v>市水利局</v>
      </c>
      <c r="P39" t="str">
        <f>'附件3 规划内'!P42</f>
        <v>尉氏县</v>
      </c>
    </row>
    <row r="40" spans="1:16">
      <c r="A40">
        <f>'附件3 规划内'!A43</f>
        <v>42</v>
      </c>
      <c r="B40" t="str">
        <f>'附件3 规划内'!B43</f>
        <v>洧川镇鲁湾供水工程</v>
      </c>
      <c r="C40" t="str">
        <f>'附件3 规划内'!C43</f>
        <v>水利</v>
      </c>
      <c r="D40" t="str">
        <f>'附件3 规划内'!D43</f>
        <v>洪水浸泡水源井周围塌陷、出水量减小</v>
      </c>
      <c r="E40">
        <f>'附件3 规划内'!E43</f>
        <v>40</v>
      </c>
      <c r="F40">
        <f>'附件3 规划内'!F43</f>
        <v>0</v>
      </c>
      <c r="G40">
        <f>'附件3 规划内'!G43</f>
        <v>40</v>
      </c>
      <c r="H40">
        <f>'附件3 规划内'!H43</f>
        <v>0</v>
      </c>
      <c r="I40" t="str">
        <f>'附件3 规划内'!I43</f>
        <v>完工</v>
      </c>
      <c r="J40">
        <f>'附件3 规划内'!J43</f>
        <v>40</v>
      </c>
      <c r="K40">
        <f>'附件3 规划内'!K43</f>
        <v>40</v>
      </c>
      <c r="L40">
        <f>'附件3 规划内'!L43</f>
        <v>0</v>
      </c>
      <c r="M40" s="26">
        <f>'附件3 规划内'!M43</f>
        <v>44555</v>
      </c>
      <c r="N40" s="26">
        <f>'附件3 规划内'!N43</f>
        <v>44676</v>
      </c>
      <c r="O40" t="str">
        <f>'附件3 规划内'!O43</f>
        <v>市水利局</v>
      </c>
      <c r="P40" t="str">
        <f>'附件3 规划内'!P43</f>
        <v>尉氏县</v>
      </c>
    </row>
    <row r="41" spans="1:16">
      <c r="A41">
        <f>'附件3 规划内'!A44</f>
        <v>43</v>
      </c>
      <c r="B41" t="str">
        <f>'附件3 规划内'!B44</f>
        <v>水坡镇牛集增压供水工程</v>
      </c>
      <c r="C41" t="str">
        <f>'附件3 规划内'!C44</f>
        <v>水利</v>
      </c>
      <c r="D41" t="str">
        <f>'附件3 规划内'!D44</f>
        <v>消毒设备损坏、牛集主管网损坏</v>
      </c>
      <c r="E41">
        <f>'附件3 规划内'!E44</f>
        <v>72.2</v>
      </c>
      <c r="F41">
        <f>'附件3 规划内'!F44</f>
        <v>0</v>
      </c>
      <c r="G41">
        <f>'附件3 规划内'!G44</f>
        <v>72.2</v>
      </c>
      <c r="H41">
        <f>'附件3 规划内'!H44</f>
        <v>0</v>
      </c>
      <c r="I41" t="str">
        <f>'附件3 规划内'!I44</f>
        <v>完工</v>
      </c>
      <c r="J41">
        <f>'附件3 规划内'!J44</f>
        <v>72.2</v>
      </c>
      <c r="K41">
        <f>'附件3 规划内'!K44</f>
        <v>72.2</v>
      </c>
      <c r="L41">
        <f>'附件3 规划内'!L44</f>
        <v>0</v>
      </c>
      <c r="M41" s="26">
        <f>'附件3 规划内'!M44</f>
        <v>44555</v>
      </c>
      <c r="N41" s="26">
        <f>'附件3 规划内'!N44</f>
        <v>44676</v>
      </c>
      <c r="O41" t="str">
        <f>'附件3 规划内'!O44</f>
        <v>市水利局</v>
      </c>
      <c r="P41" t="str">
        <f>'附件3 规划内'!P44</f>
        <v>尉氏县</v>
      </c>
    </row>
    <row r="42" spans="1:16">
      <c r="A42">
        <f>'附件3 规划内'!A45</f>
        <v>44</v>
      </c>
      <c r="B42" t="str">
        <f>'附件3 规划内'!B45</f>
        <v>南曹乡北曹供水工程</v>
      </c>
      <c r="C42" t="str">
        <f>'附件3 规划内'!C45</f>
        <v>水利</v>
      </c>
      <c r="D42" t="str">
        <f>'附件3 规划内'!D45</f>
        <v>浸泡水源井周围塌陷、出水量减小</v>
      </c>
      <c r="E42">
        <f>'附件3 规划内'!E45</f>
        <v>40</v>
      </c>
      <c r="F42">
        <f>'附件3 规划内'!F45</f>
        <v>40</v>
      </c>
      <c r="G42">
        <f>'附件3 规划内'!G45</f>
        <v>0</v>
      </c>
      <c r="H42">
        <f>'附件3 规划内'!H45</f>
        <v>0</v>
      </c>
      <c r="I42" t="str">
        <f>'附件3 规划内'!I45</f>
        <v>完工</v>
      </c>
      <c r="J42">
        <f>'附件3 规划内'!J45</f>
        <v>40</v>
      </c>
      <c r="K42" t="str">
        <f>'附件3 规划内'!K45</f>
        <v/>
      </c>
      <c r="L42">
        <f>'附件3 规划内'!L45</f>
        <v>0</v>
      </c>
      <c r="M42" s="26">
        <f>'附件3 规划内'!M45</f>
        <v>44555</v>
      </c>
      <c r="N42" s="26">
        <f>'附件3 规划内'!N45</f>
        <v>44676</v>
      </c>
      <c r="O42" t="str">
        <f>'附件3 规划内'!O45</f>
        <v>市水利局</v>
      </c>
      <c r="P42" t="str">
        <f>'附件3 规划内'!P45</f>
        <v>尉氏县</v>
      </c>
    </row>
    <row r="43" spans="1:16">
      <c r="A43">
        <f>'附件3 规划内'!A46</f>
        <v>45</v>
      </c>
      <c r="B43" t="str">
        <f>'附件3 规划内'!B46</f>
        <v>张市镇吴岗供水工程</v>
      </c>
      <c r="C43" t="str">
        <f>'附件3 规划内'!C46</f>
        <v>水利</v>
      </c>
      <c r="D43" t="str">
        <f>'附件3 规划内'!D46</f>
        <v>配电柜、水泵损坏。老集村主管网损坏</v>
      </c>
      <c r="E43">
        <f>'附件3 规划内'!E46</f>
        <v>50</v>
      </c>
      <c r="F43">
        <f>'附件3 规划内'!F46</f>
        <v>0</v>
      </c>
      <c r="G43">
        <f>'附件3 规划内'!G46</f>
        <v>50</v>
      </c>
      <c r="H43">
        <f>'附件3 规划内'!H46</f>
        <v>0</v>
      </c>
      <c r="I43" t="str">
        <f>'附件3 规划内'!I46</f>
        <v>完工</v>
      </c>
      <c r="J43">
        <f>'附件3 规划内'!J46</f>
        <v>50</v>
      </c>
      <c r="K43">
        <f>'附件3 规划内'!K46</f>
        <v>50</v>
      </c>
      <c r="L43">
        <f>'附件3 规划内'!L46</f>
        <v>0</v>
      </c>
      <c r="M43" s="26">
        <f>'附件3 规划内'!M46</f>
        <v>44555</v>
      </c>
      <c r="N43" s="26">
        <f>'附件3 规划内'!N46</f>
        <v>44676</v>
      </c>
      <c r="O43" t="str">
        <f>'附件3 规划内'!O46</f>
        <v>市水利局</v>
      </c>
      <c r="P43" t="str">
        <f>'附件3 规划内'!P46</f>
        <v>尉氏县</v>
      </c>
    </row>
    <row r="44" spans="1:16">
      <c r="A44" s="34">
        <f>'附件3 规划内'!A47</f>
        <v>46</v>
      </c>
      <c r="B44" s="34" t="str">
        <f>'附件3 规划内'!B47</f>
        <v>朱曲镇菜张供水工程</v>
      </c>
      <c r="C44" s="34" t="str">
        <f>'附件3 规划内'!C47</f>
        <v>水利</v>
      </c>
      <c r="D44" s="34" t="str">
        <f>'附件3 规划内'!D47</f>
        <v>菜张、陈庄主管网损坏</v>
      </c>
      <c r="E44" s="34">
        <f>'附件3 规划内'!E47</f>
        <v>80</v>
      </c>
      <c r="F44" s="34">
        <f>'附件3 规划内'!F47</f>
        <v>0</v>
      </c>
      <c r="G44" s="34">
        <f>'附件3 规划内'!G47</f>
        <v>80</v>
      </c>
      <c r="H44" s="34">
        <f>'附件3 规划内'!H47</f>
        <v>0</v>
      </c>
      <c r="I44" s="34" t="str">
        <f>'附件3 规划内'!I47</f>
        <v>完工</v>
      </c>
      <c r="J44" s="34">
        <f>'附件3 规划内'!J47</f>
        <v>80</v>
      </c>
      <c r="K44" s="34">
        <f>'附件3 规划内'!K47</f>
        <v>80</v>
      </c>
      <c r="L44" s="34">
        <f>'附件3 规划内'!L47</f>
        <v>0</v>
      </c>
      <c r="M44" s="35">
        <f>'附件3 规划内'!M47</f>
        <v>44555</v>
      </c>
      <c r="N44" s="35">
        <f>'附件3 规划内'!N47</f>
        <v>44676</v>
      </c>
      <c r="O44" s="34" t="str">
        <f>'附件3 规划内'!O47</f>
        <v>市水利局</v>
      </c>
      <c r="P44" s="34" t="str">
        <f>'附件3 规划内'!P47</f>
        <v>尉氏县</v>
      </c>
    </row>
    <row r="45" spans="1:16">
      <c r="A45">
        <f>'附件3 规划内'!A252</f>
        <v>233</v>
      </c>
      <c r="B45" t="str">
        <f>'附件3 规划内'!B252</f>
        <v>开封市祥符区惠济河险工治理和灾后恢复重建项目</v>
      </c>
      <c r="C45" t="str">
        <f>'附件3 规划内'!C252</f>
        <v>水利</v>
      </c>
      <c r="D45" t="str">
        <f>'附件3 规划内'!D252</f>
        <v>整治河段除涝标准采用五年一遇，防洪标准为五十年一遇，堤防设计标准为4级。河道上主要建筑物按4级建筑物设计。主要包括河道疏浚、两岸堤防加高培厚，重建排水涵洞3座，重建生产桥3座，群力闸架设变压器、高压线路。</v>
      </c>
      <c r="E45">
        <f>'附件3 规划内'!E252</f>
        <v>1723</v>
      </c>
      <c r="F45">
        <f>'附件3 规划内'!F252</f>
        <v>0</v>
      </c>
      <c r="G45">
        <f>'附件3 规划内'!G252</f>
        <v>1723</v>
      </c>
      <c r="H45">
        <f>'附件3 规划内'!H252</f>
        <v>0</v>
      </c>
      <c r="I45" t="str">
        <f>'附件3 规划内'!I252</f>
        <v>完工</v>
      </c>
      <c r="J45">
        <f>'附件3 规划内'!J252</f>
        <v>1723</v>
      </c>
      <c r="K45">
        <f>'附件3 规划内'!K252</f>
        <v>1723</v>
      </c>
      <c r="L45">
        <f>'附件3 规划内'!L252</f>
        <v>0</v>
      </c>
      <c r="M45" s="26">
        <f>'附件3 规划内'!M252</f>
        <v>44470</v>
      </c>
      <c r="N45" s="26">
        <f>'附件3 规划内'!N252</f>
        <v>44743</v>
      </c>
      <c r="O45" t="str">
        <f>'附件3 规划内'!O252</f>
        <v>市水利局</v>
      </c>
      <c r="P45" t="str">
        <f>'附件3 规划内'!P252</f>
        <v>祥符区</v>
      </c>
    </row>
    <row r="46" spans="1:16">
      <c r="A46">
        <f>'附件3 规划内'!A253</f>
        <v>234</v>
      </c>
      <c r="B46" t="str">
        <f>'附件3 规划内'!B253</f>
        <v>开封市尉氏县刘麦河南段水毁工程灾害恢复重建项目</v>
      </c>
      <c r="C46" t="str">
        <f>'附件3 规划内'!C253</f>
        <v>水利</v>
      </c>
      <c r="D46" t="str">
        <f>'附件3 规划内'!D253</f>
        <v>修复河道六棱砖护坡2531m，损毁道路修复3724m，护坡绿化重建12000㎡。</v>
      </c>
      <c r="E46">
        <f>'附件3 规划内'!E253</f>
        <v>1504</v>
      </c>
      <c r="F46">
        <f>'附件3 规划内'!F253</f>
        <v>0</v>
      </c>
      <c r="G46">
        <f>'附件3 规划内'!G253</f>
        <v>1504</v>
      </c>
      <c r="H46">
        <f>'附件3 规划内'!H253</f>
        <v>0</v>
      </c>
      <c r="I46" t="str">
        <f>'附件3 规划内'!I253</f>
        <v>在建</v>
      </c>
      <c r="J46">
        <f>'附件3 规划内'!J253</f>
        <v>1350</v>
      </c>
      <c r="K46">
        <f>'附件3 规划内'!K253</f>
        <v>1350</v>
      </c>
      <c r="L46">
        <f>'附件3 规划内'!L253</f>
        <v>0</v>
      </c>
      <c r="M46" s="26">
        <f>'附件3 规划内'!M253</f>
        <v>44470</v>
      </c>
      <c r="N46" s="26">
        <f>'附件3 规划内'!N253</f>
        <v>44866</v>
      </c>
      <c r="O46" t="str">
        <f>'附件3 规划内'!O253</f>
        <v>市水利局</v>
      </c>
      <c r="P46" t="str">
        <f>'附件3 规划内'!P253</f>
        <v>尉氏县</v>
      </c>
    </row>
  </sheetData>
  <sheetProtection sheet="1" formatCells="0" formatColumns="0" formatRows="0" sort="0" autoFilter="0" objects="1" scenarios="1"/>
  <autoFilter ref="A6:AK46">
    <extLst/>
  </autoFilter>
  <mergeCells count="5">
    <mergeCell ref="A1:G1"/>
    <mergeCell ref="H1:N1"/>
    <mergeCell ref="O1:U1"/>
    <mergeCell ref="A5:R5"/>
    <mergeCell ref="T5:AK5"/>
  </mergeCell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K18"/>
  <sheetViews>
    <sheetView zoomScale="90" zoomScaleNormal="90" topLeftCell="D1" workbookViewId="0">
      <selection activeCell="Q16" sqref="Q16"/>
    </sheetView>
  </sheetViews>
  <sheetFormatPr defaultColWidth="9" defaultRowHeight="13.5"/>
  <cols>
    <col min="3" max="3" width="11.45" customWidth="1"/>
    <col min="6" max="6" width="12.6333333333333"/>
    <col min="13" max="13" width="10.9083333333333" customWidth="1"/>
  </cols>
  <sheetData>
    <row r="1" ht="14.15" customHeight="1" spans="1:21">
      <c r="A1" s="2" t="s">
        <v>1234</v>
      </c>
      <c r="B1" s="3"/>
      <c r="C1" s="3"/>
      <c r="D1" s="3"/>
      <c r="E1" s="3"/>
      <c r="F1" s="3"/>
      <c r="G1" s="4"/>
      <c r="H1" s="5" t="s">
        <v>1235</v>
      </c>
      <c r="I1" s="5"/>
      <c r="J1" s="5"/>
      <c r="K1" s="5"/>
      <c r="L1" s="5"/>
      <c r="M1" s="5"/>
      <c r="N1" s="5"/>
      <c r="O1" s="16" t="s">
        <v>1236</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12</v>
      </c>
      <c r="C3" s="10">
        <f t="shared" ref="C3:F4" si="0">J3+Q3</f>
        <v>118862</v>
      </c>
      <c r="D3" s="10">
        <f t="shared" si="0"/>
        <v>12</v>
      </c>
      <c r="E3" s="10">
        <f t="shared" si="0"/>
        <v>6</v>
      </c>
      <c r="F3" s="10">
        <f t="shared" si="0"/>
        <v>99261</v>
      </c>
      <c r="G3" s="11">
        <f>IF(C3=0,"-",ROUND(F3/C3,3))</f>
        <v>0.835</v>
      </c>
      <c r="H3" s="8" t="s">
        <v>1146</v>
      </c>
      <c r="I3" s="17">
        <f>COUNT(E7:E122)</f>
        <v>12</v>
      </c>
      <c r="J3" s="21">
        <f>SUM(E7:E122)</f>
        <v>118862</v>
      </c>
      <c r="K3" s="21">
        <f>COUNTIF(I7:I122,"在建")+COUNTIF(I7:I122,"完工")</f>
        <v>12</v>
      </c>
      <c r="L3" s="21">
        <f>COUNTIF(I7:I122,"完工")</f>
        <v>6</v>
      </c>
      <c r="M3" s="17">
        <f>SUM(J7:J122)</f>
        <v>99261</v>
      </c>
      <c r="N3" s="22">
        <f>IF(J3=0,"-",ROUND(M3/J3,3))</f>
        <v>0.835</v>
      </c>
      <c r="O3" s="19" t="s">
        <v>1146</v>
      </c>
      <c r="P3" s="20">
        <f>COUNT(X7:X122)</f>
        <v>0</v>
      </c>
      <c r="Q3" s="24">
        <f>SUM(X7:X122)</f>
        <v>0</v>
      </c>
      <c r="R3" s="24">
        <f>COUNTIF(AB7:AB122,"在建")+COUNTIF(AB7:AB122,"完工")</f>
        <v>0</v>
      </c>
      <c r="S3" s="24">
        <f>COUNTIF(AB7:AB122,"完工")</f>
        <v>0</v>
      </c>
      <c r="T3" s="20">
        <f>SUM(AC7:AC122)</f>
        <v>0</v>
      </c>
      <c r="U3" s="25" t="str">
        <f>IF(Q3=0,"-",ROUND(T3/Q3,3))</f>
        <v>-</v>
      </c>
    </row>
    <row r="4" s="1" customFormat="1" ht="27" spans="1:21">
      <c r="A4" s="9" t="s">
        <v>1147</v>
      </c>
      <c r="B4" s="10">
        <f>I4+P4</f>
        <v>7</v>
      </c>
      <c r="C4" s="10">
        <f t="shared" si="0"/>
        <v>93616</v>
      </c>
      <c r="D4" s="10">
        <f t="shared" si="0"/>
        <v>7</v>
      </c>
      <c r="E4" s="10">
        <f t="shared" si="0"/>
        <v>1</v>
      </c>
      <c r="F4" s="10">
        <f t="shared" si="0"/>
        <v>94740.84</v>
      </c>
      <c r="G4" s="12">
        <f>IF(C4=0,"-",ROUND(F4/C4,3))</f>
        <v>1.012</v>
      </c>
      <c r="H4" s="8" t="s">
        <v>1148</v>
      </c>
      <c r="I4" s="17">
        <f>COUNTIF(G7:G122,"&gt;0")+2</f>
        <v>7</v>
      </c>
      <c r="J4" s="21">
        <f>SUM(G7:G122)</f>
        <v>93616</v>
      </c>
      <c r="K4" s="21">
        <f>COUNTIFS(G7:G122,"&gt;0",I7:I122,"完工")+COUNTIFS(G7:G122,"&gt;0",I7:I122,"在建")++IF(I8&lt;&gt;"未开工",1,0)+IF(I9&lt;&gt;"未开工",1,0)</f>
        <v>7</v>
      </c>
      <c r="L4" s="21">
        <f>COUNTIFS(G7:G122,"&gt;0",I7:I122,"完工")+IF(I8="完工",1,0)+IF(I9="完工",1,0)</f>
        <v>1</v>
      </c>
      <c r="M4" s="17">
        <f>SUM(K7:K122)</f>
        <v>94740.84</v>
      </c>
      <c r="N4" s="22">
        <f>IF(J4=0,"-",ROUND(M4/J4,3))</f>
        <v>1.012</v>
      </c>
      <c r="O4" s="19" t="s">
        <v>1148</v>
      </c>
      <c r="P4" s="20">
        <f>COUNTIF(Z7:Z122,"&gt;0")</f>
        <v>0</v>
      </c>
      <c r="Q4" s="24">
        <f>SUM(Z7:Z122)</f>
        <v>0</v>
      </c>
      <c r="R4" s="24">
        <f>COUNTIFS(Z7:Z122,"&gt;0",AB7:AB122,"完工")+COUNTIFS(Z7:Z122,"&gt;0",AB7:AB122,"在建")</f>
        <v>0</v>
      </c>
      <c r="S4" s="24">
        <f>COUNTIFS(Z7:Z122,"&gt;0",AB7:AB122,"完工")</f>
        <v>0</v>
      </c>
      <c r="T4" s="20">
        <f>SUM(AD7:AD122)</f>
        <v>0</v>
      </c>
      <c r="U4" s="25" t="str">
        <f>IF(Q4=0,"-",ROUND(T4/Q4,3))</f>
        <v>-</v>
      </c>
    </row>
    <row r="5" s="1" customFormat="1" ht="16.5" customHeight="1" spans="1:37">
      <c r="A5" s="13" t="s">
        <v>1237</v>
      </c>
      <c r="B5" s="14"/>
      <c r="C5" s="14"/>
      <c r="D5" s="14"/>
      <c r="E5" s="14"/>
      <c r="F5" s="14"/>
      <c r="G5" s="14"/>
      <c r="H5" s="14"/>
      <c r="I5" s="14"/>
      <c r="J5" s="14"/>
      <c r="K5" s="14"/>
      <c r="L5" s="14"/>
      <c r="M5" s="14"/>
      <c r="N5" s="14"/>
      <c r="O5" s="14"/>
      <c r="P5" s="14"/>
      <c r="Q5" s="14"/>
      <c r="R5" s="14"/>
      <c r="T5" s="13" t="s">
        <v>1238</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30" customFormat="1" ht="14.15" customHeight="1" spans="1:18">
      <c r="A7" s="30">
        <f>'附件3 规划内'!A231</f>
        <v>212</v>
      </c>
      <c r="B7" s="30" t="str">
        <f>'附件3 规划内'!B231</f>
        <v>尉氏县水毁农田新建项目</v>
      </c>
      <c r="C7" s="30" t="str">
        <f>'附件3 规划内'!C231</f>
        <v>农业</v>
      </c>
      <c r="D7" s="30" t="str">
        <f>'附件3 规划内'!D231</f>
        <v>104000亩</v>
      </c>
      <c r="E7" s="30">
        <f>'附件3 规划内'!E231</f>
        <v>16640</v>
      </c>
      <c r="F7" s="30">
        <f>'附件3 规划内'!F231</f>
        <v>0</v>
      </c>
      <c r="G7" s="30">
        <f>'附件3 规划内'!G231</f>
        <v>16640</v>
      </c>
      <c r="H7" s="30">
        <f>'附件3 规划内'!H231</f>
        <v>0</v>
      </c>
      <c r="I7" s="30" t="str">
        <f>'附件3 规划内'!I231</f>
        <v>在建</v>
      </c>
      <c r="J7" s="30">
        <f>'附件3 规划内'!J231</f>
        <v>13791</v>
      </c>
      <c r="K7" s="30">
        <f>'附件3 规划内'!K231</f>
        <v>13791</v>
      </c>
      <c r="L7" s="30">
        <f>'附件3 规划内'!L231</f>
        <v>0</v>
      </c>
      <c r="M7" s="31" t="str">
        <f>'附件3 规划内'!M231</f>
        <v>2022年6月</v>
      </c>
      <c r="N7" s="31" t="str">
        <f>'附件3 规划内'!N231</f>
        <v>2023年12月</v>
      </c>
      <c r="O7" s="30" t="str">
        <f>'附件3 规划内'!O231</f>
        <v>市农业农村局</v>
      </c>
      <c r="P7" s="30" t="str">
        <f>'附件3 规划内'!P231</f>
        <v>尉氏县</v>
      </c>
      <c r="Q7" s="30">
        <f>'附件3 规划内'!Q231</f>
        <v>0</v>
      </c>
      <c r="R7" s="30" t="str">
        <f>'附件3 规划内'!R231</f>
        <v>2022年12月底</v>
      </c>
    </row>
    <row r="8" ht="14.15" customHeight="1" spans="1:18">
      <c r="A8" s="27">
        <f>'附件3 规划内'!A232</f>
        <v>213</v>
      </c>
      <c r="B8" s="27" t="str">
        <f>'附件3 规划内'!B232</f>
        <v>尉氏县水毁农田重建项目</v>
      </c>
      <c r="C8" s="27" t="str">
        <f>'附件3 规划内'!C232</f>
        <v>农业</v>
      </c>
      <c r="D8" s="27" t="str">
        <f>'附件3 规划内'!D232</f>
        <v>92270亩</v>
      </c>
      <c r="E8" s="27">
        <f>'附件3 规划内'!E232</f>
        <v>14763</v>
      </c>
      <c r="F8" s="27">
        <f>'附件3 规划内'!F232</f>
        <v>0</v>
      </c>
      <c r="G8" s="27">
        <f>'附件3 规划内'!G232</f>
        <v>0</v>
      </c>
      <c r="H8" s="27">
        <f>'附件3 规划内'!H232</f>
        <v>14763.2</v>
      </c>
      <c r="I8" s="27" t="str">
        <f>'附件3 规划内'!I232</f>
        <v>在建</v>
      </c>
      <c r="J8" s="27">
        <f>'附件3 规划内'!J232</f>
        <v>13285</v>
      </c>
      <c r="K8" s="27">
        <f>'附件3 规划内'!K232</f>
        <v>13285</v>
      </c>
      <c r="L8" s="27">
        <f>'附件3 规划内'!L232</f>
        <v>0</v>
      </c>
      <c r="M8" s="28" t="str">
        <f>'附件3 规划内'!M232</f>
        <v>2023年6月</v>
      </c>
      <c r="N8" s="28" t="str">
        <f>'附件3 规划内'!N232</f>
        <v>2024年12月</v>
      </c>
      <c r="O8" s="27" t="str">
        <f>'附件3 规划内'!O232</f>
        <v>市农业农村局</v>
      </c>
      <c r="P8" s="27" t="str">
        <f>'附件3 规划内'!P232</f>
        <v>尉氏县</v>
      </c>
      <c r="Q8" s="27">
        <f>'附件3 规划内'!Q232</f>
        <v>0</v>
      </c>
      <c r="R8" s="27" t="str">
        <f>'附件3 规划内'!R232</f>
        <v>Ⅰ类，2022年6月开工</v>
      </c>
    </row>
    <row r="9" ht="14.15" customHeight="1" spans="1:18">
      <c r="A9" s="27">
        <f>'附件3 规划内'!A233</f>
        <v>214</v>
      </c>
      <c r="B9" s="27" t="str">
        <f>'附件3 规划内'!B233</f>
        <v>尉氏县水毁农田恢复项目</v>
      </c>
      <c r="C9" s="27" t="str">
        <f>'附件3 规划内'!C233</f>
        <v>农业</v>
      </c>
      <c r="D9" s="27" t="str">
        <f>'附件3 规划内'!D233</f>
        <v>115002亩</v>
      </c>
      <c r="E9" s="27">
        <f>'附件3 规划内'!E233</f>
        <v>5635</v>
      </c>
      <c r="F9" s="27">
        <f>'附件3 规划内'!F233</f>
        <v>5635</v>
      </c>
      <c r="G9" s="27">
        <f>'附件3 规划内'!G233</f>
        <v>0</v>
      </c>
      <c r="H9" s="27">
        <f>'附件3 规划内'!H233</f>
        <v>0</v>
      </c>
      <c r="I9" s="27" t="str">
        <f>'附件3 规划内'!I233</f>
        <v>完工</v>
      </c>
      <c r="J9" s="27">
        <f>'附件3 规划内'!J233</f>
        <v>5635</v>
      </c>
      <c r="K9" s="27">
        <f>'附件3 规划内'!K233</f>
        <v>5635</v>
      </c>
      <c r="L9" s="27">
        <f>'附件3 规划内'!L233</f>
        <v>0</v>
      </c>
      <c r="M9" s="28" t="str">
        <f>'附件3 规划内'!M233</f>
        <v>2021年9月</v>
      </c>
      <c r="N9" s="28" t="str">
        <f>'附件3 规划内'!N233</f>
        <v>2022年6月</v>
      </c>
      <c r="O9" s="27" t="str">
        <f>'附件3 规划内'!O233</f>
        <v>市农业农村局</v>
      </c>
      <c r="P9" s="27" t="str">
        <f>'附件3 规划内'!P233</f>
        <v>尉氏县</v>
      </c>
      <c r="Q9" s="27">
        <f>'附件3 规划内'!Q233</f>
        <v>0</v>
      </c>
      <c r="R9" s="27" t="str">
        <f>'附件3 规划内'!R233</f>
        <v>Ⅱ类，2022年6月底</v>
      </c>
    </row>
    <row r="10" ht="14.15" customHeight="1" spans="1:18">
      <c r="A10">
        <f>'附件3 规划内'!A234</f>
        <v>215</v>
      </c>
      <c r="B10" t="str">
        <f>'附件3 规划内'!B234</f>
        <v>尉氏县水毁农田应急修复项目</v>
      </c>
      <c r="C10" t="str">
        <f>'附件3 规划内'!C234</f>
        <v>农业</v>
      </c>
      <c r="D10" t="str">
        <f>'附件3 规划内'!D234</f>
        <v>40778亩</v>
      </c>
      <c r="E10">
        <f>'附件3 规划内'!E234</f>
        <v>998</v>
      </c>
      <c r="F10">
        <f>'附件3 规划内'!F234</f>
        <v>998</v>
      </c>
      <c r="G10">
        <f>'附件3 规划内'!G234</f>
        <v>0</v>
      </c>
      <c r="H10">
        <f>'附件3 规划内'!H234</f>
        <v>0</v>
      </c>
      <c r="I10" t="str">
        <f>'附件3 规划内'!I234</f>
        <v>完工</v>
      </c>
      <c r="J10">
        <f>'附件3 规划内'!J234</f>
        <v>998</v>
      </c>
      <c r="K10" t="str">
        <f>'附件3 规划内'!K234</f>
        <v/>
      </c>
      <c r="L10">
        <f>'附件3 规划内'!L234</f>
        <v>0</v>
      </c>
      <c r="M10" s="26" t="str">
        <f>'附件3 规划内'!M234</f>
        <v>2021年9月</v>
      </c>
      <c r="N10" s="26" t="str">
        <f>'附件3 规划内'!N234</f>
        <v>2021年12月</v>
      </c>
      <c r="O10" t="str">
        <f>'附件3 规划内'!O234</f>
        <v>市农业农村局</v>
      </c>
      <c r="P10" t="str">
        <f>'附件3 规划内'!P234</f>
        <v>尉氏县</v>
      </c>
      <c r="Q10">
        <f>'附件3 规划内'!Q234</f>
        <v>0</v>
      </c>
      <c r="R10" t="str">
        <f>'附件3 规划内'!R234</f>
        <v>Ⅲ类，2021年已完成</v>
      </c>
    </row>
    <row r="11" ht="14.15" customHeight="1" spans="1:18">
      <c r="A11">
        <f>'附件3 规划内'!A235</f>
        <v>216</v>
      </c>
      <c r="B11" t="str">
        <f>'附件3 规划内'!B235</f>
        <v>杞县水毁农田新建项目</v>
      </c>
      <c r="C11" t="str">
        <f>'附件3 规划内'!C235</f>
        <v>农业</v>
      </c>
      <c r="D11" t="str">
        <f>'附件3 规划内'!D235</f>
        <v>185320亩</v>
      </c>
      <c r="E11">
        <f>'附件3 规划内'!E235</f>
        <v>29648</v>
      </c>
      <c r="F11">
        <f>'附件3 规划内'!F235</f>
        <v>0</v>
      </c>
      <c r="G11">
        <f>'附件3 规划内'!G235</f>
        <v>29648</v>
      </c>
      <c r="H11">
        <f>'附件3 规划内'!H235</f>
        <v>0</v>
      </c>
      <c r="I11" t="str">
        <f>'附件3 规划内'!I235</f>
        <v>在建</v>
      </c>
      <c r="J11">
        <f>'附件3 规划内'!J235</f>
        <v>24150</v>
      </c>
      <c r="K11">
        <f>'附件3 规划内'!K235</f>
        <v>24150</v>
      </c>
      <c r="L11">
        <f>'附件3 规划内'!L235</f>
        <v>0</v>
      </c>
      <c r="M11" s="26">
        <f>'附件3 规划内'!M235</f>
        <v>44713</v>
      </c>
      <c r="N11" s="26" t="str">
        <f>'附件3 规划内'!N235</f>
        <v>2023年12月</v>
      </c>
      <c r="O11" t="str">
        <f>'附件3 规划内'!O235</f>
        <v>市农业农村局</v>
      </c>
      <c r="P11" t="str">
        <f>'附件3 规划内'!P235</f>
        <v>杞县</v>
      </c>
      <c r="Q11">
        <f>'附件3 规划内'!Q235</f>
        <v>0</v>
      </c>
      <c r="R11" t="str">
        <f>'附件3 规划内'!R235</f>
        <v>2022年12月底</v>
      </c>
    </row>
    <row r="12" ht="14.15" customHeight="1" spans="1:18">
      <c r="A12">
        <f>'附件3 规划内'!A236</f>
        <v>217</v>
      </c>
      <c r="B12" t="str">
        <f>'附件3 规划内'!B236</f>
        <v>杞县水毁农田应急修复项目</v>
      </c>
      <c r="C12" t="str">
        <f>'附件3 规划内'!C236</f>
        <v>农业</v>
      </c>
      <c r="D12" t="str">
        <f>'附件3 规划内'!D236</f>
        <v>20000亩</v>
      </c>
      <c r="E12">
        <f>'附件3 规划内'!E236</f>
        <v>488</v>
      </c>
      <c r="F12">
        <f>'附件3 规划内'!F236</f>
        <v>488</v>
      </c>
      <c r="G12">
        <f>'附件3 规划内'!G236</f>
        <v>0</v>
      </c>
      <c r="H12">
        <f>'附件3 规划内'!H236</f>
        <v>0</v>
      </c>
      <c r="I12" t="str">
        <f>'附件3 规划内'!I236</f>
        <v>完工</v>
      </c>
      <c r="J12">
        <f>'附件3 规划内'!J236</f>
        <v>488</v>
      </c>
      <c r="K12" t="str">
        <f>'附件3 规划内'!K236</f>
        <v/>
      </c>
      <c r="L12">
        <f>'附件3 规划内'!L236</f>
        <v>0</v>
      </c>
      <c r="M12" s="26">
        <f>'附件3 规划内'!M236</f>
        <v>44440</v>
      </c>
      <c r="N12" s="26" t="str">
        <f>'附件3 规划内'!N236</f>
        <v>2021年12月</v>
      </c>
      <c r="O12" t="str">
        <f>'附件3 规划内'!O236</f>
        <v>市农业农村局</v>
      </c>
      <c r="P12" t="str">
        <f>'附件3 规划内'!P236</f>
        <v>杞县</v>
      </c>
      <c r="Q12">
        <f>'附件3 规划内'!Q236</f>
        <v>0</v>
      </c>
      <c r="R12" t="str">
        <f>'附件3 规划内'!R236</f>
        <v>Ⅲ类，2021年已完成</v>
      </c>
    </row>
    <row r="13" ht="14.15" customHeight="1" spans="1:18">
      <c r="A13">
        <f>'附件3 规划内'!A237</f>
        <v>218</v>
      </c>
      <c r="B13" t="str">
        <f>'附件3 规划内'!B237</f>
        <v>禹王台区水毁农田新建项目</v>
      </c>
      <c r="C13" t="str">
        <f>'附件3 规划内'!C237</f>
        <v>农业</v>
      </c>
      <c r="D13" t="str">
        <f>'附件3 规划内'!D237</f>
        <v>9800亩</v>
      </c>
      <c r="E13">
        <f>'附件3 规划内'!E237</f>
        <v>1568</v>
      </c>
      <c r="F13">
        <f>'附件3 规划内'!F237</f>
        <v>0</v>
      </c>
      <c r="G13">
        <f>'附件3 规划内'!G237</f>
        <v>1568</v>
      </c>
      <c r="H13">
        <f>'附件3 规划内'!H237</f>
        <v>0</v>
      </c>
      <c r="I13" t="str">
        <f>'附件3 规划内'!I237</f>
        <v>在建</v>
      </c>
      <c r="J13">
        <f>'附件3 规划内'!J237</f>
        <v>1331</v>
      </c>
      <c r="K13">
        <f>'附件3 规划内'!K237</f>
        <v>1331</v>
      </c>
      <c r="L13">
        <f>'附件3 规划内'!L237</f>
        <v>0</v>
      </c>
      <c r="M13" s="26">
        <f>'附件3 规划内'!M237</f>
        <v>44713</v>
      </c>
      <c r="N13" s="26" t="str">
        <f>'附件3 规划内'!N237</f>
        <v>2023年12月</v>
      </c>
      <c r="O13" t="str">
        <f>'附件3 规划内'!O237</f>
        <v>市农业农村局</v>
      </c>
      <c r="P13" t="str">
        <f>'附件3 规划内'!P237</f>
        <v>禹王台区</v>
      </c>
      <c r="Q13">
        <f>'附件3 规划内'!Q237</f>
        <v>0</v>
      </c>
      <c r="R13" t="str">
        <f>'附件3 规划内'!R237</f>
        <v>2022年12月底</v>
      </c>
    </row>
    <row r="14" ht="14.15" customHeight="1" spans="1:18">
      <c r="A14">
        <f>'附件3 规划内'!A238</f>
        <v>219</v>
      </c>
      <c r="B14" t="str">
        <f>'附件3 规划内'!B238</f>
        <v>通许县水毁农田新建项目</v>
      </c>
      <c r="C14" t="str">
        <f>'附件3 规划内'!C238</f>
        <v>农业</v>
      </c>
      <c r="D14" t="str">
        <f>'附件3 规划内'!D238</f>
        <v>46000亩</v>
      </c>
      <c r="E14">
        <f>'附件3 规划内'!E238</f>
        <v>7360</v>
      </c>
      <c r="F14">
        <f>'附件3 规划内'!F238</f>
        <v>0</v>
      </c>
      <c r="G14">
        <f>'附件3 规划内'!G238</f>
        <v>7360</v>
      </c>
      <c r="H14">
        <f>'附件3 规划内'!H238</f>
        <v>0</v>
      </c>
      <c r="I14" t="str">
        <f>'附件3 规划内'!I238</f>
        <v>在建</v>
      </c>
      <c r="J14">
        <f>'附件3 规划内'!J238</f>
        <v>5478</v>
      </c>
      <c r="K14">
        <f>'附件3 规划内'!K238</f>
        <v>5478</v>
      </c>
      <c r="L14">
        <f>'附件3 规划内'!L238</f>
        <v>0</v>
      </c>
      <c r="M14" s="26">
        <f>'附件3 规划内'!M238</f>
        <v>44713</v>
      </c>
      <c r="N14" s="26" t="str">
        <f>'附件3 规划内'!N238</f>
        <v>2023年12月</v>
      </c>
      <c r="O14" t="str">
        <f>'附件3 规划内'!O238</f>
        <v>市农业农村局</v>
      </c>
      <c r="P14" t="str">
        <f>'附件3 规划内'!P238</f>
        <v>通许县</v>
      </c>
      <c r="Q14">
        <f>'附件3 规划内'!Q238</f>
        <v>0</v>
      </c>
      <c r="R14" t="str">
        <f>'附件3 规划内'!R238</f>
        <v>2022年12月底</v>
      </c>
    </row>
    <row r="15" ht="14.15" customHeight="1" spans="1:18">
      <c r="A15">
        <f>'附件3 规划内'!A239</f>
        <v>220</v>
      </c>
      <c r="B15" t="str">
        <f>'附件3 规划内'!B239</f>
        <v>通许县水毁农田恢复项目</v>
      </c>
      <c r="C15" t="str">
        <f>'附件3 规划内'!C239</f>
        <v>农业</v>
      </c>
      <c r="D15" t="str">
        <f>'附件3 规划内'!D239</f>
        <v>6650亩</v>
      </c>
      <c r="E15">
        <f>'附件3 规划内'!E239</f>
        <v>327.84</v>
      </c>
      <c r="F15">
        <f>'附件3 规划内'!F239</f>
        <v>327.84</v>
      </c>
      <c r="G15">
        <f>'附件3 规划内'!G239</f>
        <v>0</v>
      </c>
      <c r="H15">
        <f>'附件3 规划内'!H239</f>
        <v>0</v>
      </c>
      <c r="I15" t="str">
        <f>'附件3 规划内'!I239</f>
        <v>完工</v>
      </c>
      <c r="J15">
        <f>'附件3 规划内'!J239</f>
        <v>327.84</v>
      </c>
      <c r="K15">
        <f>'附件3 规划内'!K239</f>
        <v>327.84</v>
      </c>
      <c r="L15">
        <f>'附件3 规划内'!L239</f>
        <v>0</v>
      </c>
      <c r="M15" s="26">
        <f>'附件3 规划内'!M239</f>
        <v>44440</v>
      </c>
      <c r="N15" s="26" t="str">
        <f>'附件3 规划内'!N239</f>
        <v>2022年6月</v>
      </c>
      <c r="O15" t="str">
        <f>'附件3 规划内'!O239</f>
        <v>市农业农村局</v>
      </c>
      <c r="P15" t="str">
        <f>'附件3 规划内'!P239</f>
        <v>通许县</v>
      </c>
      <c r="Q15">
        <f>'附件3 规划内'!Q239</f>
        <v>0</v>
      </c>
      <c r="R15" t="str">
        <f>'附件3 规划内'!R239</f>
        <v>Ⅱ类，2022年6月底</v>
      </c>
    </row>
    <row r="16" ht="14.15" customHeight="1" spans="1:18">
      <c r="A16">
        <f>'附件3 规划内'!A240</f>
        <v>221</v>
      </c>
      <c r="B16" t="str">
        <f>'附件3 规划内'!B240</f>
        <v>通许县水毁农田应急修复项目</v>
      </c>
      <c r="C16" t="str">
        <f>'附件3 规划内'!C240</f>
        <v>农业</v>
      </c>
      <c r="D16" t="str">
        <f>'附件3 规划内'!D240</f>
        <v>1400亩</v>
      </c>
      <c r="E16">
        <f>'附件3 规划内'!E240</f>
        <v>34.16</v>
      </c>
      <c r="F16">
        <f>'附件3 规划内'!F240</f>
        <v>34.16</v>
      </c>
      <c r="G16">
        <f>'附件3 规划内'!G240</f>
        <v>0</v>
      </c>
      <c r="H16">
        <f>'附件3 规划内'!H240</f>
        <v>0</v>
      </c>
      <c r="I16" t="str">
        <f>'附件3 规划内'!I240</f>
        <v>完工</v>
      </c>
      <c r="J16">
        <f>'附件3 规划内'!J240</f>
        <v>34.16</v>
      </c>
      <c r="K16" t="str">
        <f>'附件3 规划内'!K240</f>
        <v/>
      </c>
      <c r="L16">
        <f>'附件3 规划内'!L240</f>
        <v>0</v>
      </c>
      <c r="M16" s="26">
        <f>'附件3 规划内'!M240</f>
        <v>44440</v>
      </c>
      <c r="N16" s="26" t="str">
        <f>'附件3 规划内'!N240</f>
        <v>2021年12月</v>
      </c>
      <c r="O16" t="str">
        <f>'附件3 规划内'!O240</f>
        <v>市农业农村局</v>
      </c>
      <c r="P16" t="str">
        <f>'附件3 规划内'!P240</f>
        <v>通许县</v>
      </c>
      <c r="Q16">
        <f>'附件3 规划内'!Q240</f>
        <v>0</v>
      </c>
      <c r="R16" t="str">
        <f>'附件3 规划内'!R240</f>
        <v>Ⅲ类，2021年已完成</v>
      </c>
    </row>
    <row r="17" ht="14.15" customHeight="1" spans="1:18">
      <c r="A17">
        <f>'附件3 规划内'!A241</f>
        <v>222</v>
      </c>
      <c r="B17" t="str">
        <f>'附件3 规划内'!B241</f>
        <v>祥符水毁农田新建项目</v>
      </c>
      <c r="C17" t="str">
        <f>'附件3 规划内'!C241</f>
        <v>农业</v>
      </c>
      <c r="D17" t="str">
        <f>'附件3 规划内'!D241</f>
        <v>240000亩</v>
      </c>
      <c r="E17">
        <f>'附件3 规划内'!E241</f>
        <v>38400</v>
      </c>
      <c r="F17">
        <f>'附件3 规划内'!F241</f>
        <v>0</v>
      </c>
      <c r="G17">
        <f>'附件3 规划内'!G241</f>
        <v>38400</v>
      </c>
      <c r="H17">
        <f>'附件3 规划内'!H241</f>
        <v>0</v>
      </c>
      <c r="I17" t="str">
        <f>'附件3 规划内'!I241</f>
        <v>在建</v>
      </c>
      <c r="J17">
        <f>'附件3 规划内'!J241</f>
        <v>30743</v>
      </c>
      <c r="K17">
        <f>'附件3 规划内'!K241</f>
        <v>30743</v>
      </c>
      <c r="L17">
        <f>'附件3 规划内'!L241</f>
        <v>0</v>
      </c>
      <c r="M17" s="26">
        <f>'附件3 规划内'!M241</f>
        <v>44713</v>
      </c>
      <c r="N17" s="26" t="str">
        <f>'附件3 规划内'!N241</f>
        <v>2023年12月</v>
      </c>
      <c r="O17" t="str">
        <f>'附件3 规划内'!O241</f>
        <v>市农业农村局</v>
      </c>
      <c r="P17" t="str">
        <f>'附件3 规划内'!P241</f>
        <v>祥符区</v>
      </c>
      <c r="Q17">
        <f>'附件3 规划内'!Q241</f>
        <v>0</v>
      </c>
      <c r="R17" t="str">
        <f>'附件3 规划内'!R241</f>
        <v>2022年12月底</v>
      </c>
    </row>
    <row r="18" ht="14.15" customHeight="1" spans="1:18">
      <c r="A18">
        <f>'附件3 规划内'!A242</f>
        <v>223</v>
      </c>
      <c r="B18" t="str">
        <f>'附件3 规划内'!B242</f>
        <v>祥符水毁农田应急修复项目</v>
      </c>
      <c r="C18" t="str">
        <f>'附件3 规划内'!C242</f>
        <v>农业</v>
      </c>
      <c r="D18" t="str">
        <f>'附件3 规划内'!D242</f>
        <v>60000亩</v>
      </c>
      <c r="E18">
        <f>'附件3 规划内'!E242</f>
        <v>3000</v>
      </c>
      <c r="F18">
        <f>'附件3 规划内'!F242</f>
        <v>3000</v>
      </c>
      <c r="G18">
        <f>'附件3 规划内'!G242</f>
        <v>0</v>
      </c>
      <c r="H18">
        <f>'附件3 规划内'!H242</f>
        <v>0</v>
      </c>
      <c r="I18" t="str">
        <f>'附件3 规划内'!I242</f>
        <v>完工</v>
      </c>
      <c r="J18">
        <f>'附件3 规划内'!J242</f>
        <v>3000</v>
      </c>
      <c r="K18" t="str">
        <f>'附件3 规划内'!K242</f>
        <v/>
      </c>
      <c r="L18">
        <f>'附件3 规划内'!L242</f>
        <v>0</v>
      </c>
      <c r="M18" s="26">
        <f>'附件3 规划内'!M242</f>
        <v>44440</v>
      </c>
      <c r="N18" s="26" t="str">
        <f>'附件3 规划内'!N242</f>
        <v>2021年12月</v>
      </c>
      <c r="O18" t="str">
        <f>'附件3 规划内'!O242</f>
        <v>市农业农村局</v>
      </c>
      <c r="P18" t="str">
        <f>'附件3 规划内'!P242</f>
        <v>祥符区</v>
      </c>
      <c r="Q18">
        <f>'附件3 规划内'!Q242</f>
        <v>0</v>
      </c>
      <c r="R18" t="str">
        <f>'附件3 规划内'!R242</f>
        <v>Ⅲ类，2021年已完成</v>
      </c>
    </row>
  </sheetData>
  <sheetProtection sheet="1" formatCells="0" formatColumns="0" formatRows="0" sort="0" autoFilter="0" objects="1" scenarios="1"/>
  <autoFilter ref="A6:AK18">
    <extLst/>
  </autoFilter>
  <mergeCells count="5">
    <mergeCell ref="A1:G1"/>
    <mergeCell ref="H1:N1"/>
    <mergeCell ref="O1:U1"/>
    <mergeCell ref="A5:R5"/>
    <mergeCell ref="T5:AK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3"/>
  <sheetViews>
    <sheetView zoomScale="90" zoomScaleNormal="90" workbookViewId="0">
      <pane ySplit="6" topLeftCell="A7" activePane="bottomLeft" state="frozen"/>
      <selection/>
      <selection pane="bottomLeft" activeCell="Q16" sqref="Q16"/>
    </sheetView>
  </sheetViews>
  <sheetFormatPr defaultColWidth="9" defaultRowHeight="13.5"/>
  <cols>
    <col min="13" max="13" width="12" customWidth="1"/>
    <col min="14" max="14" width="11.2666666666667" customWidth="1"/>
    <col min="32" max="33" width="11.3666666666667" customWidth="1"/>
  </cols>
  <sheetData>
    <row r="1" ht="14.15" customHeight="1" spans="1:21">
      <c r="A1" s="2" t="s">
        <v>1239</v>
      </c>
      <c r="B1" s="3"/>
      <c r="C1" s="3"/>
      <c r="D1" s="3"/>
      <c r="E1" s="3"/>
      <c r="F1" s="3"/>
      <c r="G1" s="4"/>
      <c r="H1" s="5" t="s">
        <v>1240</v>
      </c>
      <c r="I1" s="5"/>
      <c r="J1" s="5"/>
      <c r="K1" s="5"/>
      <c r="L1" s="5"/>
      <c r="M1" s="5"/>
      <c r="N1" s="5"/>
      <c r="O1" s="16" t="s">
        <v>1241</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9</v>
      </c>
      <c r="C3" s="10">
        <f t="shared" ref="C3:F4" si="0">J3+Q3</f>
        <v>4888.1</v>
      </c>
      <c r="D3" s="10">
        <f t="shared" si="0"/>
        <v>9</v>
      </c>
      <c r="E3" s="10">
        <f t="shared" si="0"/>
        <v>9</v>
      </c>
      <c r="F3" s="10">
        <f t="shared" si="0"/>
        <v>4888.1</v>
      </c>
      <c r="G3" s="11">
        <f>IF(C3=0,"-",ROUND(F3/C3,3))</f>
        <v>1</v>
      </c>
      <c r="H3" s="8" t="s">
        <v>1146</v>
      </c>
      <c r="I3" s="17">
        <f>COUNT(E7:E122)</f>
        <v>2</v>
      </c>
      <c r="J3" s="21">
        <f>SUM(E7:E122)</f>
        <v>1491.9</v>
      </c>
      <c r="K3" s="21">
        <f>COUNTIF(I7:I122,"在建")+COUNTIF(I7:I122,"完工")</f>
        <v>2</v>
      </c>
      <c r="L3" s="21">
        <f>COUNTIF(I7:I122,"完工")</f>
        <v>2</v>
      </c>
      <c r="M3" s="17">
        <f>SUM(J7:J122)</f>
        <v>1491.9</v>
      </c>
      <c r="N3" s="22">
        <f>IF(J3=0,"-",ROUND(M3/J3,3))</f>
        <v>1</v>
      </c>
      <c r="O3" s="19" t="s">
        <v>1146</v>
      </c>
      <c r="P3" s="20">
        <f>COUNT(X7:X122)</f>
        <v>7</v>
      </c>
      <c r="Q3" s="24">
        <f>SUM(X7:X122)</f>
        <v>3396.2</v>
      </c>
      <c r="R3" s="24">
        <f>COUNTIF(AB7:AB122,"在建")+COUNTIF(AB7:AB122,"完工")</f>
        <v>7</v>
      </c>
      <c r="S3" s="24">
        <f>COUNTIF(AB7:AB122,"完工")</f>
        <v>7</v>
      </c>
      <c r="T3" s="20">
        <f>SUM(AC7:AC122)</f>
        <v>3396.2</v>
      </c>
      <c r="U3" s="25">
        <f>IF(Q3=0,"-",ROUND(T3/Q3,3))</f>
        <v>1</v>
      </c>
    </row>
    <row r="4" s="1" customFormat="1" ht="27" spans="1:21">
      <c r="A4" s="9" t="s">
        <v>1147</v>
      </c>
      <c r="B4" s="10">
        <f>I4+P4</f>
        <v>7</v>
      </c>
      <c r="C4" s="10">
        <f t="shared" si="0"/>
        <v>1493.85</v>
      </c>
      <c r="D4" s="10">
        <f t="shared" si="0"/>
        <v>7</v>
      </c>
      <c r="E4" s="10">
        <f t="shared" si="0"/>
        <v>7</v>
      </c>
      <c r="F4" s="10">
        <f t="shared" si="0"/>
        <v>1493.85</v>
      </c>
      <c r="G4" s="12">
        <f>IF(C4=0,"-",ROUND(F4/C4,3))</f>
        <v>1</v>
      </c>
      <c r="H4" s="8" t="s">
        <v>1148</v>
      </c>
      <c r="I4" s="17">
        <f>COUNTIF(G7:G122,"&gt;0")</f>
        <v>2</v>
      </c>
      <c r="J4" s="21">
        <f>SUM(G7:G122)</f>
        <v>481.65</v>
      </c>
      <c r="K4" s="21">
        <f>COUNTIFS(G7:G122,"&gt;0",I7:I122,"完工")+COUNTIFS(G7:G122,"&gt;0",I7:I122,"在建")</f>
        <v>2</v>
      </c>
      <c r="L4" s="21">
        <f>COUNTIFS(G7:G122,"&gt;0",I7:I122,"完工")</f>
        <v>2</v>
      </c>
      <c r="M4" s="17">
        <f>SUM(K7:K122)</f>
        <v>481.65</v>
      </c>
      <c r="N4" s="22">
        <f>IF(J4=0,"-",ROUND(M4/J4,3))</f>
        <v>1</v>
      </c>
      <c r="O4" s="19" t="s">
        <v>1148</v>
      </c>
      <c r="P4" s="20">
        <f>COUNTIF(Z7:Z122,"&gt;0")</f>
        <v>5</v>
      </c>
      <c r="Q4" s="24">
        <f>SUM(Z7:Z122)</f>
        <v>1012.2</v>
      </c>
      <c r="R4" s="24">
        <f>COUNTIFS(Z7:Z122,"&gt;0",AB7:AB122,"完工")+COUNTIFS(Z7:Z122,"&gt;0",AB7:AB122,"在建")</f>
        <v>5</v>
      </c>
      <c r="S4" s="24">
        <f>COUNTIFS(Z7:Z122,"&gt;0",AB7:AB122,"完工")</f>
        <v>5</v>
      </c>
      <c r="T4" s="20">
        <f>SUM(AD7:AD122)</f>
        <v>1012.2</v>
      </c>
      <c r="U4" s="25">
        <f>IF(Q4=0,"-",ROUND(T4/Q4,3))</f>
        <v>1</v>
      </c>
    </row>
    <row r="5" s="1" customFormat="1" spans="1:37">
      <c r="A5" s="13" t="s">
        <v>1242</v>
      </c>
      <c r="B5" s="14"/>
      <c r="C5" s="14"/>
      <c r="D5" s="14"/>
      <c r="E5" s="14"/>
      <c r="F5" s="14"/>
      <c r="G5" s="14"/>
      <c r="H5" s="14"/>
      <c r="I5" s="14"/>
      <c r="J5" s="14"/>
      <c r="K5" s="14"/>
      <c r="L5" s="14"/>
      <c r="M5" s="14"/>
      <c r="N5" s="14"/>
      <c r="O5" s="14"/>
      <c r="P5" s="14"/>
      <c r="Q5" s="14"/>
      <c r="R5" s="14"/>
      <c r="T5" s="13" t="s">
        <v>1243</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6">
      <c r="A7">
        <f>'附件3 规划内'!A243</f>
        <v>224</v>
      </c>
      <c r="B7" t="str">
        <f>'附件3 规划内'!B243</f>
        <v>尉氏县国有林场林业基础设施重建项目</v>
      </c>
      <c r="C7" t="str">
        <f>'附件3 规划内'!C243</f>
        <v>林业</v>
      </c>
      <c r="D7" t="str">
        <f>'附件3 规划内'!D243</f>
        <v>修建房屋2500平米，修复围墙1000米，防火设备150台，病虫害防治设备70台，修复或重建其它基础设施，塌方及泥石流清理修复。</v>
      </c>
      <c r="E7">
        <f>'附件3 规划内'!E243</f>
        <v>43</v>
      </c>
      <c r="F7">
        <f>'附件3 规划内'!F243</f>
        <v>10.25</v>
      </c>
      <c r="G7">
        <f>'附件3 规划内'!G243</f>
        <v>32.75</v>
      </c>
      <c r="H7">
        <f>'附件3 规划内'!H243</f>
        <v>0</v>
      </c>
      <c r="I7" t="str">
        <f>'附件3 规划内'!I243</f>
        <v>完工</v>
      </c>
      <c r="J7">
        <f>'附件3 规划内'!J243</f>
        <v>43</v>
      </c>
      <c r="K7">
        <f>'附件3 规划内'!K243</f>
        <v>32.75</v>
      </c>
      <c r="L7">
        <f>'附件3 规划内'!L243</f>
        <v>0</v>
      </c>
      <c r="M7" s="26">
        <f>'附件3 规划内'!M243</f>
        <v>44470</v>
      </c>
      <c r="N7" s="26">
        <f>'附件3 规划内'!N243</f>
        <v>44896</v>
      </c>
      <c r="O7" t="str">
        <f>'附件3 规划内'!O243</f>
        <v>市林业局</v>
      </c>
      <c r="P7" t="str">
        <f>'附件3 规划内'!P243</f>
        <v>尉氏县</v>
      </c>
      <c r="Q7">
        <f>'附件3 规划内'!Q243</f>
        <v>0</v>
      </c>
      <c r="R7">
        <f>'附件3 规划内'!R243</f>
        <v>0</v>
      </c>
      <c r="T7">
        <f>'附件4 规划外'!A113</f>
        <v>126</v>
      </c>
      <c r="U7" t="str">
        <f>'附件4 规划外'!B113</f>
        <v>杞县郑民高速口环岛灾后重建项目</v>
      </c>
      <c r="V7" t="str">
        <f>'附件4 规划外'!C113</f>
        <v>林业</v>
      </c>
      <c r="W7" t="str">
        <f>'附件4 规划外'!D113</f>
        <v>郑民高速口环岛绿化工程进行补植和修复</v>
      </c>
      <c r="X7">
        <f>'附件4 规划外'!E113</f>
        <v>160</v>
      </c>
      <c r="Y7">
        <f>'附件4 规划外'!F113</f>
        <v>160</v>
      </c>
      <c r="Z7">
        <f>'附件4 规划外'!G113</f>
        <v>0</v>
      </c>
      <c r="AA7">
        <f>'附件4 规划外'!H113</f>
        <v>0</v>
      </c>
      <c r="AB7" t="str">
        <f>'附件4 规划外'!I113</f>
        <v>完工</v>
      </c>
      <c r="AC7">
        <f>'附件4 规划外'!J113</f>
        <v>160</v>
      </c>
      <c r="AD7" t="str">
        <f>'附件4 规划外'!K113</f>
        <v/>
      </c>
      <c r="AE7" t="str">
        <f>'附件4 规划外'!L113</f>
        <v>已完成</v>
      </c>
      <c r="AF7" s="26">
        <f>'附件4 规划外'!M113</f>
        <v>44531</v>
      </c>
      <c r="AG7" s="26">
        <f>'附件4 规划外'!N113</f>
        <v>44531</v>
      </c>
      <c r="AH7" t="str">
        <f>'附件4 规划外'!O113</f>
        <v>市林业局</v>
      </c>
      <c r="AI7" t="str">
        <f>'附件4 规划外'!P113</f>
        <v>杞县</v>
      </c>
      <c r="AJ7">
        <f>'附件4 规划外'!Q113</f>
        <v>0</v>
      </c>
    </row>
    <row r="8" spans="1:36">
      <c r="A8">
        <f>'附件3 规划内'!A244</f>
        <v>225</v>
      </c>
      <c r="B8" t="str">
        <f>'附件3 规划内'!B244</f>
        <v>尉氏县造林灾后重建项目</v>
      </c>
      <c r="C8" t="str">
        <f>'附件3 规划内'!C244</f>
        <v>林业</v>
      </c>
      <c r="D8" t="str">
        <f>'附件3 规划内'!D244</f>
        <v>灾后重建造林、补植面积约6200亩</v>
      </c>
      <c r="E8">
        <f>'附件3 规划内'!E244</f>
        <v>1448.9</v>
      </c>
      <c r="F8">
        <f>'附件3 规划内'!F244</f>
        <v>1000</v>
      </c>
      <c r="G8">
        <f>'附件3 规划内'!G244</f>
        <v>448.9</v>
      </c>
      <c r="H8">
        <f>'附件3 规划内'!H244</f>
        <v>0</v>
      </c>
      <c r="I8" t="str">
        <f>'附件3 规划内'!I244</f>
        <v>完工</v>
      </c>
      <c r="J8">
        <f>'附件3 规划内'!J244</f>
        <v>1448.9</v>
      </c>
      <c r="K8">
        <f>'附件3 规划内'!K244</f>
        <v>448.9</v>
      </c>
      <c r="L8">
        <f>'附件3 规划内'!L244</f>
        <v>0</v>
      </c>
      <c r="M8" s="26">
        <f>'附件3 规划内'!M244</f>
        <v>44520</v>
      </c>
      <c r="N8" s="26">
        <f>'附件3 规划内'!N244</f>
        <v>44926</v>
      </c>
      <c r="O8" t="str">
        <f>'附件3 规划内'!O244</f>
        <v>市林业局</v>
      </c>
      <c r="P8" t="str">
        <f>'附件3 规划内'!P244</f>
        <v>尉氏县</v>
      </c>
      <c r="Q8">
        <f>'附件3 规划内'!Q244</f>
        <v>0</v>
      </c>
      <c r="R8" t="str">
        <f>'附件3 规划内'!R244</f>
        <v>目前，涉及林业灾后重建造林、补植的岗李乡、大营镇由于划归港区管理，无法再实施，造林总计划减少,灾后重建造林总投资为1448.9万元。</v>
      </c>
      <c r="T8">
        <f>'附件4 规划外'!A114</f>
        <v>127</v>
      </c>
      <c r="U8" t="str">
        <f>'附件4 规划外'!B114</f>
        <v>杞县造林灾后重建项目</v>
      </c>
      <c r="V8" t="str">
        <f>'附件4 规划外'!C114</f>
        <v>林业</v>
      </c>
      <c r="W8" t="str">
        <f>'附件4 规划外'!D114</f>
        <v>灾后重建造林、补植面积1500亩</v>
      </c>
      <c r="X8">
        <f>'附件4 规划外'!E114</f>
        <v>750</v>
      </c>
      <c r="Y8">
        <f>'附件4 规划外'!F114</f>
        <v>400</v>
      </c>
      <c r="Z8">
        <f>'附件4 规划外'!G114</f>
        <v>350</v>
      </c>
      <c r="AA8">
        <f>'附件4 规划外'!H114</f>
        <v>0</v>
      </c>
      <c r="AB8" t="str">
        <f>'附件4 规划外'!I114</f>
        <v>完工</v>
      </c>
      <c r="AC8">
        <f>'附件4 规划外'!J114</f>
        <v>750</v>
      </c>
      <c r="AD8">
        <f>'附件4 规划外'!K114</f>
        <v>350</v>
      </c>
      <c r="AE8" t="str">
        <f>'附件4 规划外'!L114</f>
        <v>已完成</v>
      </c>
      <c r="AF8" s="26">
        <f>'附件4 规划外'!M114</f>
        <v>44531</v>
      </c>
      <c r="AG8" s="26">
        <f>'附件4 规划外'!N114</f>
        <v>44682</v>
      </c>
      <c r="AH8" t="str">
        <f>'附件4 规划外'!O114</f>
        <v>市林业局</v>
      </c>
      <c r="AI8" t="str">
        <f>'附件4 规划外'!P114</f>
        <v>杞县</v>
      </c>
      <c r="AJ8">
        <f>'附件4 规划外'!Q114</f>
        <v>0</v>
      </c>
    </row>
    <row r="9" spans="20:36">
      <c r="T9">
        <f>'附件4 规划外'!A115</f>
        <v>128</v>
      </c>
      <c r="U9" t="str">
        <f>'附件4 规划外'!B115</f>
        <v>通许县树木受灾修复重建项目</v>
      </c>
      <c r="V9" t="str">
        <f>'附件4 规划外'!C115</f>
        <v>林业</v>
      </c>
      <c r="W9" t="str">
        <f>'附件4 规划外'!D115</f>
        <v>补植1600亩</v>
      </c>
      <c r="X9">
        <f>'附件4 规划外'!E115</f>
        <v>800</v>
      </c>
      <c r="Y9">
        <f>'附件4 规划外'!F115</f>
        <v>665</v>
      </c>
      <c r="Z9">
        <f>'附件4 规划外'!G115</f>
        <v>135</v>
      </c>
      <c r="AA9">
        <f>'附件4 规划外'!H115</f>
        <v>0</v>
      </c>
      <c r="AB9" t="str">
        <f>'附件4 规划外'!I115</f>
        <v>完工</v>
      </c>
      <c r="AC9">
        <f>'附件4 规划外'!J115</f>
        <v>800</v>
      </c>
      <c r="AD9">
        <f>'附件4 规划外'!K115</f>
        <v>135</v>
      </c>
      <c r="AE9" t="str">
        <f>'附件4 规划外'!L115</f>
        <v>已完成</v>
      </c>
      <c r="AF9" s="26">
        <f>'附件4 规划外'!M115</f>
        <v>44501</v>
      </c>
      <c r="AG9" s="26">
        <f>'附件4 规划外'!N115</f>
        <v>44651</v>
      </c>
      <c r="AH9" t="str">
        <f>'附件4 规划外'!O115</f>
        <v>市林业局</v>
      </c>
      <c r="AI9" t="str">
        <f>'附件4 规划外'!P115</f>
        <v>通许县</v>
      </c>
      <c r="AJ9">
        <f>'附件4 规划外'!Q115</f>
        <v>0</v>
      </c>
    </row>
    <row r="10" spans="20:36">
      <c r="T10">
        <f>'附件4 规划外'!A116</f>
        <v>129</v>
      </c>
      <c r="U10" t="str">
        <f>'附件4 规划外'!B116</f>
        <v>通许县城区绿地及林区基础设施修复重建</v>
      </c>
      <c r="V10" t="str">
        <f>'附件4 规划外'!C116</f>
        <v>林业</v>
      </c>
      <c r="W10" t="str">
        <f>'附件4 规划外'!D116</f>
        <v>院墙、屋顶路面修复重建</v>
      </c>
      <c r="X10">
        <f>'附件4 规划外'!E116</f>
        <v>80</v>
      </c>
      <c r="Y10">
        <f>'附件4 规划外'!F116</f>
        <v>80</v>
      </c>
      <c r="Z10">
        <f>'附件4 规划外'!G116</f>
        <v>0</v>
      </c>
      <c r="AA10">
        <f>'附件4 规划外'!H116</f>
        <v>0</v>
      </c>
      <c r="AB10" t="str">
        <f>'附件4 规划外'!I116</f>
        <v>完工</v>
      </c>
      <c r="AC10">
        <f>'附件4 规划外'!J116</f>
        <v>80</v>
      </c>
      <c r="AD10" t="str">
        <f>'附件4 规划外'!K116</f>
        <v/>
      </c>
      <c r="AE10" t="str">
        <f>'附件4 规划外'!L116</f>
        <v>已完成</v>
      </c>
      <c r="AF10" s="26">
        <f>'附件4 规划外'!M116</f>
        <v>44440</v>
      </c>
      <c r="AG10" s="26">
        <f>'附件4 规划外'!N116</f>
        <v>44561</v>
      </c>
      <c r="AH10" t="str">
        <f>'附件4 规划外'!O116</f>
        <v>市林业局</v>
      </c>
      <c r="AI10" t="str">
        <f>'附件4 规划外'!P116</f>
        <v>通许县</v>
      </c>
      <c r="AJ10">
        <f>'附件4 规划外'!Q116</f>
        <v>0</v>
      </c>
    </row>
    <row r="11" spans="20:36">
      <c r="T11">
        <f>'附件4 规划外'!A117</f>
        <v>130</v>
      </c>
      <c r="U11" t="str">
        <f>'附件4 规划外'!B117</f>
        <v>祥符区国储林机井、绿化项目</v>
      </c>
      <c r="V11" t="str">
        <f>'附件4 规划外'!C117</f>
        <v>林业</v>
      </c>
      <c r="W11" t="str">
        <f>'附件4 规划外'!D117</f>
        <v>祥符区建投公司承建的十八弯、开港大道、大广高速、郑民高速、连霍高速机井476眼报废重建，边沟91520米冲毁修复，廊道绿化1000亩修复重建。</v>
      </c>
      <c r="X11">
        <f>'附件4 规划外'!E117</f>
        <v>1000</v>
      </c>
      <c r="Y11">
        <f>'附件4 规划外'!F117</f>
        <v>800</v>
      </c>
      <c r="Z11">
        <f>'附件4 规划外'!G117</f>
        <v>200</v>
      </c>
      <c r="AA11">
        <f>'附件4 规划外'!H117</f>
        <v>0</v>
      </c>
      <c r="AB11" t="str">
        <f>'附件4 规划外'!I117</f>
        <v>完工</v>
      </c>
      <c r="AC11">
        <f>'附件4 规划外'!J117</f>
        <v>1000</v>
      </c>
      <c r="AD11">
        <f>'附件4 规划外'!K117</f>
        <v>200</v>
      </c>
      <c r="AE11" t="str">
        <f>'附件4 规划外'!L117</f>
        <v>已完成</v>
      </c>
      <c r="AF11" s="26">
        <f>'附件4 规划外'!M117</f>
        <v>44505</v>
      </c>
      <c r="AG11" s="26">
        <f>'附件4 规划外'!N117</f>
        <v>44926</v>
      </c>
      <c r="AH11" t="str">
        <f>'附件4 规划外'!O117</f>
        <v>市林业局</v>
      </c>
      <c r="AI11" t="str">
        <f>'附件4 规划外'!P117</f>
        <v>祥符区</v>
      </c>
      <c r="AJ11">
        <f>'附件4 规划外'!Q117</f>
        <v>0</v>
      </c>
    </row>
    <row r="12" spans="20:36">
      <c r="T12">
        <f>'附件4 规划外'!A118</f>
        <v>131</v>
      </c>
      <c r="U12" t="str">
        <f>'附件4 规划外'!B118</f>
        <v>祥符区中心苗圃场及林场基础设施损毁及苗木损毁</v>
      </c>
      <c r="V12" t="str">
        <f>'附件4 规划外'!C118</f>
        <v>林业</v>
      </c>
      <c r="W12" t="str">
        <f>'附件4 规划外'!D118</f>
        <v>林场及苗圃场倒塌围墙570平方的重建，冲毁道路路基1125平方的修复重建；受灾苗圃50亩自救后无絮杨80000棵损毁，及林场107杨苗8000棵的损毁</v>
      </c>
      <c r="X12">
        <f>'附件4 规划外'!E118</f>
        <v>106.2</v>
      </c>
      <c r="Y12">
        <f>'附件4 规划外'!F118</f>
        <v>0</v>
      </c>
      <c r="Z12">
        <f>'附件4 规划外'!G118</f>
        <v>106.2</v>
      </c>
      <c r="AA12">
        <f>'附件4 规划外'!H118</f>
        <v>0</v>
      </c>
      <c r="AB12" t="str">
        <f>'附件4 规划外'!I118</f>
        <v>完工</v>
      </c>
      <c r="AC12">
        <f>'附件4 规划外'!J118</f>
        <v>106.2</v>
      </c>
      <c r="AD12">
        <f>'附件4 规划外'!K118</f>
        <v>106.2</v>
      </c>
      <c r="AE12" t="str">
        <f>'附件4 规划外'!L118</f>
        <v>已完成</v>
      </c>
      <c r="AF12" s="26">
        <f>'附件4 规划外'!M118</f>
        <v>44576</v>
      </c>
      <c r="AG12" s="26">
        <f>'附件4 规划外'!N118</f>
        <v>44926</v>
      </c>
      <c r="AH12" t="str">
        <f>'附件4 规划外'!O118</f>
        <v>市林业局</v>
      </c>
      <c r="AI12" t="str">
        <f>'附件4 规划外'!P118</f>
        <v>祥符区</v>
      </c>
      <c r="AJ12">
        <f>'附件4 规划外'!Q118</f>
        <v>0</v>
      </c>
    </row>
    <row r="13" spans="20:36">
      <c r="T13">
        <f>'附件4 规划外'!A119</f>
        <v>132</v>
      </c>
      <c r="U13" t="str">
        <f>'附件4 规划外'!B119</f>
        <v>祥符区区发投国投建投国储林、苗圃受损</v>
      </c>
      <c r="V13" t="str">
        <f>'附件4 规划外'!C119</f>
        <v>林业</v>
      </c>
      <c r="W13" t="str">
        <f>'附件4 规划外'!D119</f>
        <v>发投连霍高速国家储备林项目的国槐、女贞、栾树、开港大道、开杞路，五个高速下站口、五十公里廊道及晋开南国储林基地400亩受灾损毁的修复及道路路边沟等基础设施的损毁；国投公司生态廊道、沿黄草业带及林业支持村集体经济发展等项目共100亩受灾损毁的清理及修复</v>
      </c>
      <c r="X13">
        <f>'附件4 规划外'!E119</f>
        <v>500</v>
      </c>
      <c r="Y13">
        <f>'附件4 规划外'!F119</f>
        <v>279</v>
      </c>
      <c r="Z13">
        <f>'附件4 规划外'!G119</f>
        <v>221</v>
      </c>
      <c r="AA13">
        <f>'附件4 规划外'!H119</f>
        <v>0</v>
      </c>
      <c r="AB13" t="str">
        <f>'附件4 规划外'!I119</f>
        <v>完工</v>
      </c>
      <c r="AC13">
        <f>'附件4 规划外'!J119</f>
        <v>500</v>
      </c>
      <c r="AD13">
        <f>'附件4 规划外'!K119</f>
        <v>221</v>
      </c>
      <c r="AE13" t="str">
        <f>'附件4 规划外'!L119</f>
        <v>已完成</v>
      </c>
      <c r="AF13" s="26">
        <f>'附件4 规划外'!M119</f>
        <v>44515</v>
      </c>
      <c r="AG13" s="26">
        <f>'附件4 规划外'!N119</f>
        <v>44926</v>
      </c>
      <c r="AH13" t="str">
        <f>'附件4 规划外'!O119</f>
        <v>市林业局</v>
      </c>
      <c r="AI13" t="str">
        <f>'附件4 规划外'!P119</f>
        <v>祥符区</v>
      </c>
      <c r="AJ13">
        <f>'附件4 规划外'!Q119</f>
        <v>0</v>
      </c>
    </row>
  </sheetData>
  <sheetProtection sheet="1" formatCells="0" formatColumns="0" formatRows="0" sort="0" autoFilter="0" objects="1" scenarios="1"/>
  <autoFilter ref="A6:AK13">
    <extLst/>
  </autoFilter>
  <mergeCells count="5">
    <mergeCell ref="A1:G1"/>
    <mergeCell ref="H1:N1"/>
    <mergeCell ref="O1:U1"/>
    <mergeCell ref="A5:R5"/>
    <mergeCell ref="T5:AK5"/>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47"/>
  <sheetViews>
    <sheetView zoomScale="90" zoomScaleNormal="90" topLeftCell="P1" workbookViewId="0">
      <pane ySplit="6" topLeftCell="A7" activePane="bottomLeft" state="frozen"/>
      <selection/>
      <selection pane="bottomLeft" activeCell="AA29" sqref="AA29"/>
    </sheetView>
  </sheetViews>
  <sheetFormatPr defaultColWidth="9" defaultRowHeight="13.5"/>
  <cols>
    <col min="3" max="3" width="10" customWidth="1"/>
    <col min="5" max="5" width="9.36666666666667"/>
    <col min="7" max="7" width="9.36666666666667"/>
    <col min="13" max="14" width="11.3666666666667" customWidth="1"/>
    <col min="32" max="33" width="11.3666666666667" customWidth="1"/>
    <col min="34" max="34" width="14.1833333333333" customWidth="1"/>
  </cols>
  <sheetData>
    <row r="1" ht="14.15" customHeight="1" spans="1:21">
      <c r="A1" s="2" t="s">
        <v>1244</v>
      </c>
      <c r="B1" s="3"/>
      <c r="C1" s="3"/>
      <c r="D1" s="3"/>
      <c r="E1" s="3"/>
      <c r="F1" s="3"/>
      <c r="G1" s="4"/>
      <c r="H1" s="5" t="s">
        <v>1245</v>
      </c>
      <c r="I1" s="5"/>
      <c r="J1" s="5"/>
      <c r="K1" s="5"/>
      <c r="L1" s="5"/>
      <c r="M1" s="5"/>
      <c r="N1" s="5"/>
      <c r="O1" s="16" t="s">
        <v>1245</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64</v>
      </c>
      <c r="C3" s="10" t="e">
        <f t="shared" ref="C3:F4" si="0">J3+Q3</f>
        <v>#REF!</v>
      </c>
      <c r="D3" s="10">
        <f t="shared" si="0"/>
        <v>64</v>
      </c>
      <c r="E3" s="10">
        <f t="shared" si="0"/>
        <v>50</v>
      </c>
      <c r="F3" s="10" t="e">
        <f t="shared" si="0"/>
        <v>#REF!</v>
      </c>
      <c r="G3" s="11" t="e">
        <f>IF(C3=0,"-",ROUND(F3/C3,3))</f>
        <v>#REF!</v>
      </c>
      <c r="H3" s="8" t="s">
        <v>1146</v>
      </c>
      <c r="I3" s="17">
        <f>COUNT(E7:E122)</f>
        <v>41</v>
      </c>
      <c r="J3" s="21">
        <f>SUM(E7:E122)</f>
        <v>61065.586</v>
      </c>
      <c r="K3" s="21">
        <f>COUNTIF(I7:I122,"在建")+COUNTIF(I7:I122,"完工")</f>
        <v>41</v>
      </c>
      <c r="L3" s="21">
        <f>COUNTIF(I7:I122,"完工")</f>
        <v>33</v>
      </c>
      <c r="M3" s="17">
        <f>SUM(J7:J47)</f>
        <v>55010.586</v>
      </c>
      <c r="N3" s="22">
        <f>IF(J3=0,"-",ROUND(M3/J3,3))</f>
        <v>0.901</v>
      </c>
      <c r="O3" s="19" t="s">
        <v>1146</v>
      </c>
      <c r="P3" s="20">
        <f>COUNT(X7:X122)+9</f>
        <v>23</v>
      </c>
      <c r="Q3" s="24" t="e">
        <f>SUM(X7:X122)</f>
        <v>#REF!</v>
      </c>
      <c r="R3" s="24">
        <f>COUNTIF(AB7:AB122,"在建")+COUNTIF(AB7:AB122,"完工")+9</f>
        <v>23</v>
      </c>
      <c r="S3" s="24">
        <f>COUNTIF(AB7:AB122,"完工")+9</f>
        <v>17</v>
      </c>
      <c r="T3" s="20" t="e">
        <f>SUM(AC7:AC47)</f>
        <v>#REF!</v>
      </c>
      <c r="U3" s="25" t="e">
        <f>IF(Q3=0,"-",ROUND(T3/Q3,3))</f>
        <v>#REF!</v>
      </c>
    </row>
    <row r="4" s="1" customFormat="1" ht="27" spans="1:21">
      <c r="A4" s="9" t="s">
        <v>1147</v>
      </c>
      <c r="B4" s="10">
        <f>I4+P4</f>
        <v>51</v>
      </c>
      <c r="C4" s="10" t="e">
        <f t="shared" si="0"/>
        <v>#REF!</v>
      </c>
      <c r="D4" s="10">
        <f t="shared" si="0"/>
        <v>51</v>
      </c>
      <c r="E4" s="10">
        <f t="shared" si="0"/>
        <v>37</v>
      </c>
      <c r="F4" s="10" t="e">
        <f t="shared" si="0"/>
        <v>#REF!</v>
      </c>
      <c r="G4" s="12" t="e">
        <f>IF(C4=0,"-",ROUND(F4/C4,3))</f>
        <v>#REF!</v>
      </c>
      <c r="H4" s="8" t="s">
        <v>1148</v>
      </c>
      <c r="I4" s="17">
        <f>COUNTIF(G7:G122,"&gt;0")</f>
        <v>34</v>
      </c>
      <c r="J4" s="21">
        <f>SUM(G7:G122)</f>
        <v>48280.246</v>
      </c>
      <c r="K4" s="21">
        <f>COUNTIFS(G7:G122,"&gt;0",I7:I122,"完工")+COUNTIFS(G7:G122,"&gt;0",I7:I122,"在建")</f>
        <v>34</v>
      </c>
      <c r="L4" s="21">
        <f>COUNTIFS(G7:G122,"&gt;0",I7:I122,"完工")</f>
        <v>26</v>
      </c>
      <c r="M4" s="17">
        <f>SUM(K7:K122)</f>
        <v>42225.246</v>
      </c>
      <c r="N4" s="22">
        <f>IF(J4=0,"-",ROUND(M4/J4,3))</f>
        <v>0.875</v>
      </c>
      <c r="O4" s="19" t="s">
        <v>1148</v>
      </c>
      <c r="P4" s="20">
        <f>COUNTIF(Z7:Z122,"&gt;0")+9</f>
        <v>17</v>
      </c>
      <c r="Q4" s="24" t="e">
        <f>SUM(Z7:Z122)</f>
        <v>#REF!</v>
      </c>
      <c r="R4" s="24">
        <f>COUNTIFS(Z7:Z122,"&gt;0",AB7:AB122,"完工")+COUNTIFS(Z7:Z122,"&gt;0",AB7:AB122,"在建")+9</f>
        <v>17</v>
      </c>
      <c r="S4" s="24">
        <f>COUNTIFS(Z7:Z122,"&gt;0",AB7:AB122,"完工")+9</f>
        <v>11</v>
      </c>
      <c r="T4" s="20" t="e">
        <f>SUM(AD7:AD122)</f>
        <v>#REF!</v>
      </c>
      <c r="U4" s="25" t="e">
        <f>IF(Q4=0,"-",ROUND(T4/Q4,3))</f>
        <v>#REF!</v>
      </c>
    </row>
    <row r="5" s="1" customFormat="1" spans="1:37">
      <c r="A5" s="13" t="s">
        <v>1246</v>
      </c>
      <c r="B5" s="14"/>
      <c r="C5" s="14"/>
      <c r="D5" s="14"/>
      <c r="E5" s="14"/>
      <c r="F5" s="14"/>
      <c r="G5" s="14"/>
      <c r="H5" s="14"/>
      <c r="I5" s="14"/>
      <c r="J5" s="14"/>
      <c r="K5" s="14"/>
      <c r="L5" s="14"/>
      <c r="M5" s="14"/>
      <c r="N5" s="14"/>
      <c r="O5" s="14"/>
      <c r="P5" s="14"/>
      <c r="Q5" s="14"/>
      <c r="R5" s="14"/>
      <c r="T5" s="13" t="s">
        <v>1246</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规划内'!A48</f>
        <v>47</v>
      </c>
      <c r="B7" t="str">
        <f>'附件3 规划内'!B48</f>
        <v>X060</v>
      </c>
      <c r="C7" t="str">
        <f>'附件3 规划内'!C48</f>
        <v>交通</v>
      </c>
      <c r="D7" t="str">
        <f>'附件3 规划内'!D48</f>
        <v>13公里</v>
      </c>
      <c r="E7">
        <f>'附件3 规划内'!E48</f>
        <v>1783</v>
      </c>
      <c r="F7">
        <f>'附件3 规划内'!F48</f>
        <v>778</v>
      </c>
      <c r="G7">
        <f>'附件3 规划内'!G48</f>
        <v>1005</v>
      </c>
      <c r="H7">
        <f>'附件3 规划内'!H48</f>
        <v>0</v>
      </c>
      <c r="I7" t="str">
        <f>'附件3 规划内'!I48</f>
        <v>完工</v>
      </c>
      <c r="J7">
        <f>'附件3 规划内'!J48</f>
        <v>1783</v>
      </c>
      <c r="K7">
        <f>'附件3 规划内'!K48</f>
        <v>1005</v>
      </c>
      <c r="L7">
        <f>'附件3 规划内'!L48</f>
        <v>0</v>
      </c>
      <c r="M7" s="26">
        <f>'附件3 规划内'!M48</f>
        <v>44531</v>
      </c>
      <c r="N7" s="26">
        <f>'附件3 规划内'!N48</f>
        <v>44774</v>
      </c>
      <c r="O7" t="str">
        <f>'附件3 规划内'!O48</f>
        <v>市交通运输局</v>
      </c>
      <c r="P7" t="str">
        <f>'附件3 规划内'!P48</f>
        <v>兰考县</v>
      </c>
      <c r="Q7">
        <f>'附件3 规划内'!Q48</f>
        <v>0</v>
      </c>
      <c r="R7" t="str">
        <f>'附件3 规划内'!R48</f>
        <v>2022年12月底 农村公路</v>
      </c>
      <c r="T7">
        <f>'附件4 规划外'!A18</f>
        <v>18</v>
      </c>
      <c r="U7" t="str">
        <f>'附件4 规划外'!B18</f>
        <v>240线陈留镇北至祥符区通许县界段结构性修复工程</v>
      </c>
      <c r="V7" t="str">
        <f>'附件4 规划外'!C18</f>
        <v>交通</v>
      </c>
      <c r="W7" t="str">
        <f>'附件4 规划外'!D18</f>
        <v>修复道路长12.732公里，铣刨老路面后，对基层病害进行处治，自下而上加铺18cm水稳碎石+透层+橡胶沥青混凝土等。</v>
      </c>
      <c r="X7">
        <f>'附件4 规划外'!E18</f>
        <v>3779</v>
      </c>
      <c r="Y7">
        <f>'附件4 规划外'!F18</f>
        <v>3023</v>
      </c>
      <c r="Z7">
        <f>'附件4 规划外'!G18</f>
        <v>756</v>
      </c>
      <c r="AA7">
        <f>'附件4 规划外'!H18</f>
        <v>0</v>
      </c>
      <c r="AB7" t="str">
        <f>'附件4 规划外'!I18</f>
        <v>完工</v>
      </c>
      <c r="AC7">
        <f>'附件4 规划外'!J18</f>
        <v>3779</v>
      </c>
      <c r="AD7">
        <f>'附件4 规划外'!K18</f>
        <v>756</v>
      </c>
      <c r="AE7" t="str">
        <f>'附件4 规划外'!L18</f>
        <v>在建</v>
      </c>
      <c r="AF7" s="26">
        <f>'附件4 规划外'!M18</f>
        <v>44470</v>
      </c>
      <c r="AG7" s="26">
        <f>'附件4 规划外'!N18</f>
        <v>44896</v>
      </c>
      <c r="AH7" t="str">
        <f>'附件4 规划外'!O18</f>
        <v>市交通运输局</v>
      </c>
      <c r="AI7" t="str">
        <f>'附件4 规划外'!P18</f>
        <v>市本级</v>
      </c>
      <c r="AJ7">
        <f>'附件4 规划外'!Q18</f>
        <v>0</v>
      </c>
      <c r="AK7">
        <f>'附件4 规划外'!R18</f>
        <v>0</v>
      </c>
    </row>
    <row r="8" spans="1:37">
      <c r="A8">
        <f>'附件3 规划内'!A49</f>
        <v>48</v>
      </c>
      <c r="B8" t="str">
        <f>'附件3 规划内'!B49</f>
        <v>X058</v>
      </c>
      <c r="C8" t="str">
        <f>'附件3 规划内'!C49</f>
        <v>交通</v>
      </c>
      <c r="D8" t="str">
        <f>'附件3 规划内'!D49</f>
        <v>3公里</v>
      </c>
      <c r="E8">
        <f>'附件3 规划内'!E49</f>
        <v>1316</v>
      </c>
      <c r="F8">
        <f>'附件3 规划内'!F49</f>
        <v>500</v>
      </c>
      <c r="G8">
        <f>'附件3 规划内'!G49</f>
        <v>816</v>
      </c>
      <c r="H8">
        <f>'附件3 规划内'!H49</f>
        <v>0</v>
      </c>
      <c r="I8" t="str">
        <f>'附件3 规划内'!I49</f>
        <v>完工</v>
      </c>
      <c r="J8">
        <f>'附件3 规划内'!J49</f>
        <v>1316</v>
      </c>
      <c r="K8">
        <f>'附件3 规划内'!K49</f>
        <v>816</v>
      </c>
      <c r="L8">
        <f>'附件3 规划内'!L49</f>
        <v>0</v>
      </c>
      <c r="M8" s="26">
        <f>'附件3 规划内'!M49</f>
        <v>44531</v>
      </c>
      <c r="N8" s="26">
        <f>'附件3 规划内'!N49</f>
        <v>44713</v>
      </c>
      <c r="O8" t="str">
        <f>'附件3 规划内'!O49</f>
        <v>市交通运输局</v>
      </c>
      <c r="P8" t="str">
        <f>'附件3 规划内'!P49</f>
        <v>兰考县</v>
      </c>
      <c r="Q8">
        <f>'附件3 规划内'!Q49</f>
        <v>0</v>
      </c>
      <c r="R8" t="str">
        <f>'附件3 规划内'!R49</f>
        <v>2022年6月底 农村公路</v>
      </c>
      <c r="T8">
        <f>'附件4 规划外'!A19</f>
        <v>19</v>
      </c>
      <c r="U8" t="str">
        <f>'附件4 规划外'!B19</f>
        <v>尉氏县干线公路修复</v>
      </c>
      <c r="V8" t="str">
        <f>'附件4 规划外'!C19</f>
        <v>交通</v>
      </c>
      <c r="W8" t="str">
        <f>'附件4 规划外'!D19</f>
        <v>S102、S223、S102、G230冲毁绿化平台、路肩216处35230立方,倒伏路树3500余棵,路面、路基损毁近18563万平方米,贾鲁河大桥等桥涵水毁缺损4座石砌护坡冲毁1180立方,安全指示标志损毁 20个。</v>
      </c>
      <c r="X8">
        <f>'附件4 规划外'!E19</f>
        <v>109</v>
      </c>
      <c r="Y8">
        <f>'附件4 规划外'!F19</f>
        <v>109</v>
      </c>
      <c r="Z8">
        <f>'附件4 规划外'!G19</f>
        <v>0</v>
      </c>
      <c r="AA8">
        <f>'附件4 规划外'!H19</f>
        <v>0</v>
      </c>
      <c r="AB8" t="str">
        <f>'附件4 规划外'!I19</f>
        <v>完工</v>
      </c>
      <c r="AC8">
        <f>'附件4 规划外'!J19</f>
        <v>109</v>
      </c>
      <c r="AD8" t="str">
        <f>'附件4 规划外'!K19</f>
        <v/>
      </c>
      <c r="AE8" t="str">
        <f>'附件4 规划外'!L19</f>
        <v>完工</v>
      </c>
      <c r="AF8" s="26">
        <f>'附件4 规划外'!M19</f>
        <v>44409</v>
      </c>
      <c r="AG8" s="26">
        <f>'附件4 规划外'!N19</f>
        <v>44470</v>
      </c>
      <c r="AH8" t="str">
        <f>'附件4 规划外'!O19</f>
        <v>市交通运输局</v>
      </c>
      <c r="AI8" t="str">
        <f>'附件4 规划外'!P19</f>
        <v>市本级</v>
      </c>
      <c r="AJ8">
        <f>'附件4 规划外'!Q19</f>
        <v>0</v>
      </c>
      <c r="AK8">
        <f>'附件4 规划外'!R19</f>
        <v>0</v>
      </c>
    </row>
    <row r="9" spans="1:37">
      <c r="A9">
        <f>'附件3 规划内'!A50</f>
        <v>49</v>
      </c>
      <c r="B9" t="str">
        <f>'附件3 规划内'!B50</f>
        <v>X053</v>
      </c>
      <c r="C9" t="str">
        <f>'附件3 规划内'!C50</f>
        <v>交通</v>
      </c>
      <c r="D9" t="str">
        <f>'附件3 规划内'!D50</f>
        <v>3公里</v>
      </c>
      <c r="E9">
        <f>'附件3 规划内'!E50</f>
        <v>1346</v>
      </c>
      <c r="F9">
        <f>'附件3 规划内'!F50</f>
        <v>500</v>
      </c>
      <c r="G9">
        <f>'附件3 规划内'!G50</f>
        <v>846</v>
      </c>
      <c r="H9">
        <f>'附件3 规划内'!H50</f>
        <v>0</v>
      </c>
      <c r="I9" t="str">
        <f>'附件3 规划内'!I50</f>
        <v>完工</v>
      </c>
      <c r="J9">
        <f>'附件3 规划内'!J50</f>
        <v>1346</v>
      </c>
      <c r="K9">
        <f>'附件3 规划内'!K50</f>
        <v>846</v>
      </c>
      <c r="L9">
        <f>'附件3 规划内'!L50</f>
        <v>0</v>
      </c>
      <c r="M9" s="26">
        <f>'附件3 规划内'!M50</f>
        <v>44531</v>
      </c>
      <c r="N9" s="26">
        <f>'附件3 规划内'!N50</f>
        <v>44742</v>
      </c>
      <c r="O9" t="str">
        <f>'附件3 规划内'!O50</f>
        <v>市交通运输局</v>
      </c>
      <c r="P9" t="str">
        <f>'附件3 规划内'!P50</f>
        <v>兰考县</v>
      </c>
      <c r="Q9">
        <f>'附件3 规划内'!Q50</f>
        <v>0</v>
      </c>
      <c r="R9" t="str">
        <f>'附件3 规划内'!R50</f>
        <v>2022年6月底 农村公路</v>
      </c>
      <c r="T9">
        <f>'附件4 规划外'!A20</f>
        <v>20</v>
      </c>
      <c r="U9" t="str">
        <f>'附件4 规划外'!B20</f>
        <v>祥符区干线公路修复</v>
      </c>
      <c r="V9" t="str">
        <f>'附件4 规划外'!C20</f>
        <v>交通</v>
      </c>
      <c r="W9" t="str">
        <f>'附件4 规划外'!D20</f>
        <v>G310冲毁绿化平台、路肩136处41500立方,损坏G240 线陇海立交桥等6座桥涵,护坡滑坡塌方29960立方 (土方),倒伏路树1320多棵,路面、路基损毁约18200平方米,3处标志。</v>
      </c>
      <c r="X9">
        <f>'附件4 规划外'!E20</f>
        <v>825</v>
      </c>
      <c r="Y9">
        <f>'附件4 规划外'!F20</f>
        <v>825</v>
      </c>
      <c r="Z9">
        <f>'附件4 规划外'!G20</f>
        <v>0</v>
      </c>
      <c r="AA9">
        <f>'附件4 规划外'!H20</f>
        <v>0</v>
      </c>
      <c r="AB9" t="str">
        <f>'附件4 规划外'!I20</f>
        <v>完工</v>
      </c>
      <c r="AC9">
        <f>'附件4 规划外'!J20</f>
        <v>825</v>
      </c>
      <c r="AD9" t="str">
        <f>'附件4 规划外'!K20</f>
        <v/>
      </c>
      <c r="AE9" t="str">
        <f>'附件4 规划外'!L20</f>
        <v>完工</v>
      </c>
      <c r="AF9" s="26">
        <f>'附件4 规划外'!M20</f>
        <v>44409</v>
      </c>
      <c r="AG9" s="26">
        <f>'附件4 规划外'!N20</f>
        <v>44471</v>
      </c>
      <c r="AH9" t="str">
        <f>'附件4 规划外'!O20</f>
        <v>市交通运输局</v>
      </c>
      <c r="AI9" t="str">
        <f>'附件4 规划外'!P20</f>
        <v>市本级</v>
      </c>
      <c r="AJ9">
        <f>'附件4 规划外'!Q20</f>
        <v>0</v>
      </c>
      <c r="AK9">
        <f>'附件4 规划外'!R20</f>
        <v>0</v>
      </c>
    </row>
    <row r="10" spans="1:37">
      <c r="A10">
        <f>'附件3 规划内'!A51</f>
        <v>50</v>
      </c>
      <c r="B10" t="str">
        <f>'附件3 规划内'!B51</f>
        <v>Y009 恢复重建</v>
      </c>
      <c r="C10" t="str">
        <f>'附件3 规划内'!C51</f>
        <v>交通</v>
      </c>
      <c r="D10" t="str">
        <f>'附件3 规划内'!D51</f>
        <v>恢复重建道路3.083公里</v>
      </c>
      <c r="E10">
        <f>'附件3 规划内'!E51</f>
        <v>300</v>
      </c>
      <c r="F10">
        <f>'附件3 规划内'!F51</f>
        <v>0</v>
      </c>
      <c r="G10">
        <f>'附件3 规划内'!G51</f>
        <v>300</v>
      </c>
      <c r="H10">
        <f>'附件3 规划内'!H51</f>
        <v>0</v>
      </c>
      <c r="I10" t="str">
        <f>'附件3 规划内'!I51</f>
        <v>完工</v>
      </c>
      <c r="J10">
        <f>'附件3 规划内'!J51</f>
        <v>300</v>
      </c>
      <c r="K10">
        <f>'附件3 规划内'!K51</f>
        <v>300</v>
      </c>
      <c r="L10">
        <f>'附件3 规划内'!L51</f>
        <v>0</v>
      </c>
      <c r="M10" s="26">
        <f>'附件3 规划内'!M51</f>
        <v>44652</v>
      </c>
      <c r="N10" s="26">
        <f>'附件3 规划内'!N51</f>
        <v>44742</v>
      </c>
      <c r="O10" t="str">
        <f>'附件3 规划内'!O51</f>
        <v>市交通运输局</v>
      </c>
      <c r="P10" t="str">
        <f>'附件3 规划内'!P51</f>
        <v>城乡一体化示范区</v>
      </c>
      <c r="Q10">
        <f>'附件3 规划内'!Q51</f>
        <v>0</v>
      </c>
      <c r="R10" t="str">
        <f>'附件3 规划内'!R51</f>
        <v>2022年6月底 农村公路</v>
      </c>
      <c r="T10">
        <f>'附件4 规划外'!A21</f>
        <v>21</v>
      </c>
      <c r="U10" t="str">
        <f>'附件4 规划外'!B21</f>
        <v>杞县干线公路修复</v>
      </c>
      <c r="V10" t="str">
        <f>'附件4 规划外'!C21</f>
        <v>交通</v>
      </c>
      <c r="W10" t="str">
        <f>'附件4 规划外'!D21</f>
        <v>S316冲毁绿化平台、路肩327处22183立方,损坏S220线涡河故道桥、S218芝麻洼场丘桥等3座桥函,石砌护坡滑坡塌方1563立方,倒伏路树1347棵,路面、路基损毁约12726平方米,柿园道班院墙倒塌214米。</v>
      </c>
      <c r="X10">
        <f>'附件4 规划外'!E21</f>
        <v>536</v>
      </c>
      <c r="Y10">
        <f>'附件4 规划外'!F21</f>
        <v>536</v>
      </c>
      <c r="Z10">
        <f>'附件4 规划外'!G21</f>
        <v>0</v>
      </c>
      <c r="AA10">
        <f>'附件4 规划外'!H21</f>
        <v>0</v>
      </c>
      <c r="AB10" t="str">
        <f>'附件4 规划外'!I21</f>
        <v>完工</v>
      </c>
      <c r="AC10">
        <f>'附件4 规划外'!J21</f>
        <v>536</v>
      </c>
      <c r="AD10" t="str">
        <f>'附件4 规划外'!K21</f>
        <v/>
      </c>
      <c r="AE10" t="str">
        <f>'附件4 规划外'!L21</f>
        <v>完工</v>
      </c>
      <c r="AF10" s="26">
        <f>'附件4 规划外'!M21</f>
        <v>44409</v>
      </c>
      <c r="AG10" s="26">
        <f>'附件4 规划外'!N21</f>
        <v>44472</v>
      </c>
      <c r="AH10" t="str">
        <f>'附件4 规划外'!O21</f>
        <v>市交通运输局</v>
      </c>
      <c r="AI10" t="str">
        <f>'附件4 规划外'!P21</f>
        <v>市本级</v>
      </c>
      <c r="AJ10">
        <f>'附件4 规划外'!Q21</f>
        <v>0</v>
      </c>
      <c r="AK10">
        <f>'附件4 规划外'!R21</f>
        <v>0</v>
      </c>
    </row>
    <row r="11" spans="1:37">
      <c r="A11">
        <f>'附件3 规划内'!A52</f>
        <v>51</v>
      </c>
      <c r="B11" t="str">
        <f>'附件3 规划内'!B52</f>
        <v>龙亭区Y023私房院段水毁重建项目</v>
      </c>
      <c r="C11" t="str">
        <f>'附件3 规划内'!C52</f>
        <v>交通</v>
      </c>
      <c r="D11" t="str">
        <f>'附件3 规划内'!D52</f>
        <v>恢复重建道路1.2公里</v>
      </c>
      <c r="E11">
        <f>'附件3 规划内'!E52</f>
        <v>225</v>
      </c>
      <c r="F11">
        <f>'附件3 规划内'!F52</f>
        <v>180</v>
      </c>
      <c r="G11">
        <f>'附件3 规划内'!G52</f>
        <v>45</v>
      </c>
      <c r="H11">
        <f>'附件3 规划内'!H52</f>
        <v>0</v>
      </c>
      <c r="I11" t="str">
        <f>'附件3 规划内'!I52</f>
        <v>完工</v>
      </c>
      <c r="J11">
        <f>'附件3 规划内'!J52</f>
        <v>225</v>
      </c>
      <c r="K11">
        <f>'附件3 规划内'!K52</f>
        <v>45</v>
      </c>
      <c r="L11">
        <f>'附件3 规划内'!L52</f>
        <v>0</v>
      </c>
      <c r="M11" s="26">
        <f>'附件3 规划内'!M52</f>
        <v>44518</v>
      </c>
      <c r="N11" s="26">
        <f>'附件3 规划内'!N52</f>
        <v>44742</v>
      </c>
      <c r="O11" t="str">
        <f>'附件3 规划内'!O52</f>
        <v>市交通运输局</v>
      </c>
      <c r="P11" t="str">
        <f>'附件3 规划内'!P52</f>
        <v>龙亭区</v>
      </c>
      <c r="Q11">
        <f>'附件3 规划内'!Q52</f>
        <v>0</v>
      </c>
      <c r="R11" t="str">
        <f>'附件3 规划内'!R52</f>
        <v>2022年6月底 农村公路</v>
      </c>
      <c r="T11">
        <f>'附件4 规划外'!A22</f>
        <v>22</v>
      </c>
      <c r="U11" t="str">
        <f>'附件4 规划外'!B22</f>
        <v>通许县干线公路修复</v>
      </c>
      <c r="V11" t="str">
        <f>'附件4 规划外'!C22</f>
        <v>交通</v>
      </c>
      <c r="W11" t="str">
        <f>'附件4 规划外'!D22</f>
        <v>G343、G240、S221、S222涉及冲毁绿化平台、路肩346 处47740立方米,损坏桥梁5座,桥面铺装损坏1750平 方,桥面伸缩缝5处,护坡滑坡塌方1379立方,倒伏路 树1246多棵,路面、路基损毁约16760平方米,道班院 墙倒塌(裴庄道班、张小楼道班、机械化养护队), 房顶损坏2处,安全指示标志损毁18个。</v>
      </c>
      <c r="X11">
        <f>'附件4 规划外'!E22</f>
        <v>754</v>
      </c>
      <c r="Y11">
        <f>'附件4 规划外'!F22</f>
        <v>754</v>
      </c>
      <c r="Z11">
        <f>'附件4 规划外'!G22</f>
        <v>0</v>
      </c>
      <c r="AA11">
        <f>'附件4 规划外'!H22</f>
        <v>0</v>
      </c>
      <c r="AB11" t="str">
        <f>'附件4 规划外'!I22</f>
        <v>完工</v>
      </c>
      <c r="AC11">
        <f>'附件4 规划外'!J22</f>
        <v>754</v>
      </c>
      <c r="AD11" t="str">
        <f>'附件4 规划外'!K22</f>
        <v/>
      </c>
      <c r="AE11" t="str">
        <f>'附件4 规划外'!L22</f>
        <v>完工</v>
      </c>
      <c r="AF11" s="26">
        <f>'附件4 规划外'!M22</f>
        <v>44409</v>
      </c>
      <c r="AG11" s="26">
        <f>'附件4 规划外'!N22</f>
        <v>44473</v>
      </c>
      <c r="AH11" t="str">
        <f>'附件4 规划外'!O22</f>
        <v>市交通运输局</v>
      </c>
      <c r="AI11" t="str">
        <f>'附件4 规划外'!P22</f>
        <v>市本级</v>
      </c>
      <c r="AJ11">
        <f>'附件4 规划外'!Q22</f>
        <v>0</v>
      </c>
      <c r="AK11">
        <f>'附件4 规划外'!R22</f>
        <v>0</v>
      </c>
    </row>
    <row r="12" spans="1:37">
      <c r="A12">
        <f>'附件3 规划内'!A53</f>
        <v>52</v>
      </c>
      <c r="B12" t="str">
        <f>'附件3 规划内'!B53</f>
        <v>龙亭区X005吴牛线水毁重建项目</v>
      </c>
      <c r="C12" t="str">
        <f>'附件3 规划内'!C53</f>
        <v>交通</v>
      </c>
      <c r="D12" t="str">
        <f>'附件3 规划内'!D53</f>
        <v>恢复重建道路3.6公里</v>
      </c>
      <c r="E12">
        <f>'附件3 规划内'!E53</f>
        <v>369</v>
      </c>
      <c r="F12">
        <f>'附件3 规划内'!F53</f>
        <v>2.5</v>
      </c>
      <c r="G12">
        <f>'附件3 规划内'!G53</f>
        <v>366.5</v>
      </c>
      <c r="H12">
        <f>'附件3 规划内'!H53</f>
        <v>0</v>
      </c>
      <c r="I12" t="str">
        <f>'附件3 规划内'!I53</f>
        <v>完工</v>
      </c>
      <c r="J12">
        <f>'附件3 规划内'!J53</f>
        <v>369</v>
      </c>
      <c r="K12">
        <f>'附件3 规划内'!K53</f>
        <v>366.5</v>
      </c>
      <c r="L12">
        <f>'附件3 规划内'!L53</f>
        <v>0</v>
      </c>
      <c r="M12" s="26">
        <f>'附件3 规划内'!M53</f>
        <v>44545</v>
      </c>
      <c r="N12" s="26">
        <f>'附件3 规划内'!N53</f>
        <v>44742</v>
      </c>
      <c r="O12" t="str">
        <f>'附件3 规划内'!O53</f>
        <v>市交通运输局</v>
      </c>
      <c r="P12" t="str">
        <f>'附件3 规划内'!P53</f>
        <v>龙亭区</v>
      </c>
      <c r="Q12">
        <f>'附件3 规划内'!Q53</f>
        <v>0</v>
      </c>
      <c r="R12" t="str">
        <f>'附件3 规划内'!R53</f>
        <v>2022年6月底 农村公路</v>
      </c>
      <c r="T12">
        <f>'附件4 规划外'!A23</f>
        <v>23</v>
      </c>
      <c r="U12" t="str">
        <f>'附件4 规划外'!B23</f>
        <v>城区干线公路修复</v>
      </c>
      <c r="V12" t="str">
        <f>'附件4 规划外'!C23</f>
        <v>交通</v>
      </c>
      <c r="W12" t="str">
        <f>'附件4 规划外'!D23</f>
        <v>G310、S314涉及冲毁绿化平台、路肩75处5410立方, 损毁刘寺桥等桥涵3座桥头石砌护坡冲毁80立方,路面 、路基水毁4200平方。</v>
      </c>
      <c r="X12">
        <f>'附件4 规划外'!E23</f>
        <v>110</v>
      </c>
      <c r="Y12">
        <f>'附件4 规划外'!F23</f>
        <v>110</v>
      </c>
      <c r="Z12">
        <f>'附件4 规划外'!G23</f>
        <v>0</v>
      </c>
      <c r="AA12">
        <f>'附件4 规划外'!H23</f>
        <v>0</v>
      </c>
      <c r="AB12" t="str">
        <f>'附件4 规划外'!I23</f>
        <v>完工</v>
      </c>
      <c r="AC12">
        <f>'附件4 规划外'!J23</f>
        <v>110</v>
      </c>
      <c r="AD12" t="str">
        <f>'附件4 规划外'!K23</f>
        <v/>
      </c>
      <c r="AE12" t="str">
        <f>'附件4 规划外'!L23</f>
        <v>完工</v>
      </c>
      <c r="AF12" s="26">
        <f>'附件4 规划外'!M23</f>
        <v>44409</v>
      </c>
      <c r="AG12" s="26">
        <f>'附件4 规划外'!N23</f>
        <v>44474</v>
      </c>
      <c r="AH12" t="str">
        <f>'附件4 规划外'!O23</f>
        <v>市交通运输局</v>
      </c>
      <c r="AI12" t="str">
        <f>'附件4 规划外'!P23</f>
        <v>市本级</v>
      </c>
      <c r="AJ12">
        <f>'附件4 规划外'!Q23</f>
        <v>0</v>
      </c>
      <c r="AK12">
        <f>'附件4 规划外'!R23</f>
        <v>0</v>
      </c>
    </row>
    <row r="13" spans="1:37">
      <c r="A13">
        <f>'附件3 规划内'!A54</f>
        <v>53</v>
      </c>
      <c r="B13" t="str">
        <f>'附件3 规划内'!B54</f>
        <v>龙亭区X004刘辛线水毁重建项目</v>
      </c>
      <c r="C13" t="str">
        <f>'附件3 规划内'!C54</f>
        <v>交通</v>
      </c>
      <c r="D13" t="str">
        <f>'附件3 规划内'!D54</f>
        <v>恢复重建道路4.8公里</v>
      </c>
      <c r="E13">
        <f>'附件3 规划内'!E54</f>
        <v>507</v>
      </c>
      <c r="F13">
        <f>'附件3 规划内'!F54</f>
        <v>2.5</v>
      </c>
      <c r="G13">
        <f>'附件3 规划内'!G54</f>
        <v>504.5</v>
      </c>
      <c r="H13">
        <f>'附件3 规划内'!H54</f>
        <v>0</v>
      </c>
      <c r="I13" t="str">
        <f>'附件3 规划内'!I54</f>
        <v>完工</v>
      </c>
      <c r="J13">
        <f>'附件3 规划内'!J54</f>
        <v>507</v>
      </c>
      <c r="K13">
        <f>'附件3 规划内'!K54</f>
        <v>504.5</v>
      </c>
      <c r="L13">
        <f>'附件3 规划内'!L54</f>
        <v>0</v>
      </c>
      <c r="M13" s="26">
        <f>'附件3 规划内'!M54</f>
        <v>44621</v>
      </c>
      <c r="N13" s="26">
        <f>'附件3 规划内'!N54</f>
        <v>44742</v>
      </c>
      <c r="O13" t="str">
        <f>'附件3 规划内'!O54</f>
        <v>市交通运输局</v>
      </c>
      <c r="P13" t="str">
        <f>'附件3 规划内'!P54</f>
        <v>龙亭区</v>
      </c>
      <c r="Q13">
        <f>'附件3 规划内'!Q54</f>
        <v>0</v>
      </c>
      <c r="R13" t="str">
        <f>'附件3 规划内'!R54</f>
        <v>2022年6月底 农村公路</v>
      </c>
      <c r="T13">
        <f>'附件4 规划外'!A24</f>
        <v>24</v>
      </c>
      <c r="U13" t="str">
        <f>'附件4 规划外'!B24</f>
        <v>通许县农村公路灾毁道路重建</v>
      </c>
      <c r="V13" t="str">
        <f>'附件4 规划外'!C24</f>
        <v>交通</v>
      </c>
      <c r="W13" t="str">
        <f>'附件4 规划外'!D24</f>
        <v>灾毁重建198公里</v>
      </c>
      <c r="X13">
        <f>'附件4 规划外'!E24</f>
        <v>37524</v>
      </c>
      <c r="Y13">
        <f>'附件4 规划外'!F24</f>
        <v>0</v>
      </c>
      <c r="Z13">
        <f>'附件4 规划外'!G24</f>
        <v>12619</v>
      </c>
      <c r="AA13">
        <f>'附件4 规划外'!H24</f>
        <v>24905</v>
      </c>
      <c r="AB13" t="str">
        <f>'附件4 规划外'!I24</f>
        <v>在建</v>
      </c>
      <c r="AC13">
        <f>'附件4 规划外'!J24</f>
        <v>12665</v>
      </c>
      <c r="AD13">
        <f>'附件4 规划外'!K24</f>
        <v>12665</v>
      </c>
      <c r="AE13" t="str">
        <f>'附件4 规划外'!L24</f>
        <v>在建</v>
      </c>
      <c r="AF13" s="26">
        <f>'附件4 规划外'!M24</f>
        <v>44621</v>
      </c>
      <c r="AG13" s="26">
        <f>'附件4 规划外'!N24</f>
        <v>45627</v>
      </c>
      <c r="AH13" t="str">
        <f>'附件4 规划外'!O24</f>
        <v>市交通运输局</v>
      </c>
      <c r="AI13" t="str">
        <f>'附件4 规划外'!P24</f>
        <v>通许县</v>
      </c>
      <c r="AJ13">
        <f>'附件4 规划外'!Q24</f>
        <v>0</v>
      </c>
      <c r="AK13">
        <f>'附件4 规划外'!R24</f>
        <v>0</v>
      </c>
    </row>
    <row r="14" spans="1:37">
      <c r="A14">
        <f>'附件3 规划内'!A55</f>
        <v>54</v>
      </c>
      <c r="B14" t="str">
        <f>'附件3 规划内'!B55</f>
        <v>X011万赵线</v>
      </c>
      <c r="C14" t="str">
        <f>'附件3 规划内'!C55</f>
        <v>交通</v>
      </c>
      <c r="D14" t="str">
        <f>'附件3 规划内'!D55</f>
        <v>恢复重建道路4.8公里</v>
      </c>
      <c r="E14">
        <f>'附件3 规划内'!E55</f>
        <v>1350</v>
      </c>
      <c r="F14">
        <f>'附件3 规划内'!F55</f>
        <v>120</v>
      </c>
      <c r="G14">
        <f>'附件3 规划内'!G55</f>
        <v>1230</v>
      </c>
      <c r="H14">
        <f>'附件3 规划内'!H55</f>
        <v>0</v>
      </c>
      <c r="I14" t="str">
        <f>'附件3 规划内'!I55</f>
        <v>在建</v>
      </c>
      <c r="J14">
        <f>'附件3 规划内'!J55</f>
        <v>1250</v>
      </c>
      <c r="K14">
        <f>'附件3 规划内'!K55</f>
        <v>1130</v>
      </c>
      <c r="L14">
        <f>'附件3 规划内'!L55</f>
        <v>0</v>
      </c>
      <c r="M14" s="26">
        <f>'附件3 规划内'!M55</f>
        <v>44501</v>
      </c>
      <c r="N14" s="26">
        <f>'附件3 规划内'!N55</f>
        <v>44926</v>
      </c>
      <c r="O14" t="str">
        <f>'附件3 规划内'!O55</f>
        <v>市交通运输局</v>
      </c>
      <c r="P14" t="str">
        <f>'附件3 规划内'!P55</f>
        <v>杞县</v>
      </c>
      <c r="Q14">
        <f>'附件3 规划内'!Q55</f>
        <v>0</v>
      </c>
      <c r="R14" t="str">
        <f>'附件3 规划内'!R55</f>
        <v>2022年12月底 农村公路</v>
      </c>
      <c r="T14">
        <f>'附件4 规划外'!A25</f>
        <v>25</v>
      </c>
      <c r="U14" t="str">
        <f>'附件4 规划外'!B25</f>
        <v>通许县农村公路灾毁桥梁重建</v>
      </c>
      <c r="V14" t="str">
        <f>'附件4 规划外'!C25</f>
        <v>交通</v>
      </c>
      <c r="W14" t="str">
        <f>'附件4 规划外'!D25</f>
        <v>桥梁整体重建177延米</v>
      </c>
      <c r="X14">
        <f>'附件4 规划外'!E25</f>
        <v>873.2141</v>
      </c>
      <c r="Y14">
        <f>'附件4 规划外'!F25</f>
        <v>0</v>
      </c>
      <c r="Z14">
        <f>'附件4 规划外'!G25</f>
        <v>873.2141</v>
      </c>
      <c r="AA14">
        <f>'附件4 规划外'!H25</f>
        <v>0</v>
      </c>
      <c r="AB14" t="str">
        <f>'附件4 规划外'!I25</f>
        <v>在建</v>
      </c>
      <c r="AC14">
        <f>'附件4 规划外'!J25</f>
        <v>450</v>
      </c>
      <c r="AD14">
        <f>'附件4 规划外'!K25</f>
        <v>450</v>
      </c>
      <c r="AE14">
        <f>'附件4 规划外'!L25</f>
        <v>0</v>
      </c>
      <c r="AF14" s="26" t="str">
        <f>'附件4 规划外'!M25</f>
        <v>2022年</v>
      </c>
      <c r="AG14" s="26">
        <f>'附件4 规划外'!N25</f>
        <v>45627</v>
      </c>
      <c r="AH14" t="str">
        <f>'附件4 规划外'!O25</f>
        <v>市交通运输局</v>
      </c>
      <c r="AI14" t="str">
        <f>'附件4 规划外'!P25</f>
        <v>通许县</v>
      </c>
      <c r="AJ14">
        <f>'附件4 规划外'!Q25</f>
        <v>0</v>
      </c>
      <c r="AK14">
        <f>'附件4 规划外'!R25</f>
        <v>0</v>
      </c>
    </row>
    <row r="15" spans="1:37">
      <c r="A15">
        <f>'附件3 规划内'!A56</f>
        <v>55</v>
      </c>
      <c r="B15" t="str">
        <f>'附件3 规划内'!B56</f>
        <v>X008杞竹线</v>
      </c>
      <c r="C15" t="str">
        <f>'附件3 规划内'!C56</f>
        <v>交通</v>
      </c>
      <c r="D15" t="str">
        <f>'附件3 规划内'!D56</f>
        <v>恢复重建道路21.45公里</v>
      </c>
      <c r="E15">
        <f>'附件3 规划内'!E56</f>
        <v>9653</v>
      </c>
      <c r="F15">
        <f>'附件3 规划内'!F56</f>
        <v>0</v>
      </c>
      <c r="G15">
        <f>'附件3 规划内'!G56</f>
        <v>9653</v>
      </c>
      <c r="H15">
        <f>'附件3 规划内'!H56</f>
        <v>0</v>
      </c>
      <c r="I15" t="str">
        <f>'附件3 规划内'!I56</f>
        <v>在建</v>
      </c>
      <c r="J15">
        <f>'附件3 规划内'!J56</f>
        <v>7730</v>
      </c>
      <c r="K15">
        <f>'附件3 规划内'!K56</f>
        <v>7730</v>
      </c>
      <c r="L15">
        <f>'附件3 规划内'!L56</f>
        <v>0</v>
      </c>
      <c r="M15" s="26">
        <f>'附件3 规划内'!M56</f>
        <v>44621</v>
      </c>
      <c r="N15" s="26">
        <f>'附件3 规划内'!N56</f>
        <v>44926</v>
      </c>
      <c r="O15" t="str">
        <f>'附件3 规划内'!O56</f>
        <v>市交通运输局</v>
      </c>
      <c r="P15" t="str">
        <f>'附件3 规划内'!P56</f>
        <v>杞县</v>
      </c>
      <c r="Q15">
        <f>'附件3 规划内'!Q56</f>
        <v>0</v>
      </c>
      <c r="R15" t="str">
        <f>'附件3 规划内'!R56</f>
        <v>2022年12月底 农村公路</v>
      </c>
      <c r="T15" s="33" t="str">
        <f>'附件4 规划外'!A26</f>
        <v>26-35</v>
      </c>
      <c r="U15" t="str">
        <f>'附件4 规划外'!B26</f>
        <v>开封市祥符区第一批预安排项目改建工程（10条路）</v>
      </c>
      <c r="V15" t="str">
        <f>'附件4 规划外'!C26</f>
        <v>交通</v>
      </c>
      <c r="W15" t="str">
        <f>'附件4 规划外'!D26</f>
        <v>10条村道分别为：半坡店乡牌坊王、老庄至南张庄、陈留镇刘伍楼至五里砦至范庄、陈留镇朱庄、仇楼镇高庄、杜良乡大门寨至武堂、罗王镇二郞庙、曲兴镇洪山庙（小丁）至开兰路、朱仙镇西木鱼寺、罗王镇闫店村。 共计16.063公里包含：路基工程、路面工程</v>
      </c>
      <c r="X15">
        <f>'附件4 规划外'!E26</f>
        <v>1445.66</v>
      </c>
      <c r="Y15">
        <f>'附件4 规划外'!F26</f>
        <v>1445.66</v>
      </c>
      <c r="Z15">
        <f>'附件4 规划外'!G26</f>
        <v>0</v>
      </c>
      <c r="AA15">
        <f>'附件4 规划外'!H26</f>
        <v>0</v>
      </c>
      <c r="AB15" t="str">
        <f>'附件4 规划外'!I26</f>
        <v>完工</v>
      </c>
      <c r="AC15">
        <f>'附件4 规划外'!J26</f>
        <v>1445.66</v>
      </c>
      <c r="AD15" t="str">
        <f>'附件4 规划外'!K26</f>
        <v/>
      </c>
      <c r="AE15" t="str">
        <f>'附件4 规划外'!L26</f>
        <v>完工</v>
      </c>
      <c r="AF15" s="26">
        <f>'附件4 规划外'!M26</f>
        <v>44440</v>
      </c>
      <c r="AG15" s="26">
        <f>'附件4 规划外'!N26</f>
        <v>44531</v>
      </c>
      <c r="AH15" t="str">
        <f>'附件4 规划外'!O26</f>
        <v>市交通运输局</v>
      </c>
      <c r="AI15" t="str">
        <f>'附件4 规划外'!P26</f>
        <v>祥符区</v>
      </c>
      <c r="AJ15">
        <f>'附件4 规划外'!Q26</f>
        <v>0</v>
      </c>
      <c r="AK15">
        <f>'附件4 规划外'!R26</f>
        <v>0</v>
      </c>
    </row>
    <row r="16" spans="1:37">
      <c r="A16">
        <f>'附件3 规划内'!A57</f>
        <v>56</v>
      </c>
      <c r="B16" t="str">
        <f>'附件3 规划内'!B57</f>
        <v>X001裴泥线</v>
      </c>
      <c r="C16" t="str">
        <f>'附件3 规划内'!C57</f>
        <v>交通</v>
      </c>
      <c r="D16" t="str">
        <f>'附件3 规划内'!D57</f>
        <v>恢复重建道路14.6公里</v>
      </c>
      <c r="E16">
        <f>'附件3 规划内'!E57</f>
        <v>4106</v>
      </c>
      <c r="F16">
        <f>'附件3 规划内'!F57</f>
        <v>1657</v>
      </c>
      <c r="G16">
        <f>'附件3 规划内'!G57</f>
        <v>2449</v>
      </c>
      <c r="H16">
        <f>'附件3 规划内'!H57</f>
        <v>0</v>
      </c>
      <c r="I16" t="str">
        <f>'附件3 规划内'!I57</f>
        <v>在建</v>
      </c>
      <c r="J16">
        <f>'附件3 规划内'!J57</f>
        <v>3520</v>
      </c>
      <c r="K16">
        <f>'附件3 规划内'!K57</f>
        <v>1863</v>
      </c>
      <c r="L16">
        <f>'附件3 规划内'!L57</f>
        <v>0</v>
      </c>
      <c r="M16" s="26">
        <f>'附件3 规划内'!M57</f>
        <v>44501</v>
      </c>
      <c r="N16" s="26">
        <f>'附件3 规划内'!N57</f>
        <v>44926</v>
      </c>
      <c r="O16" t="str">
        <f>'附件3 规划内'!O57</f>
        <v>市交通运输局</v>
      </c>
      <c r="P16" t="str">
        <f>'附件3 规划内'!P57</f>
        <v>杞县</v>
      </c>
      <c r="Q16">
        <f>'附件3 规划内'!Q57</f>
        <v>0</v>
      </c>
      <c r="R16" t="str">
        <f>'附件3 规划内'!R57</f>
        <v>2022年12月底 农村公路</v>
      </c>
      <c r="T16" t="e">
        <f>'附件4 规划外'!#REF!</f>
        <v>#REF!</v>
      </c>
      <c r="U16" t="e">
        <f>'附件4 规划外'!#REF!</f>
        <v>#REF!</v>
      </c>
      <c r="V16" t="e">
        <f>'附件4 规划外'!#REF!</f>
        <v>#REF!</v>
      </c>
      <c r="W16" t="e">
        <f>'附件4 规划外'!#REF!</f>
        <v>#REF!</v>
      </c>
      <c r="X16" t="e">
        <f>'附件4 规划外'!#REF!</f>
        <v>#REF!</v>
      </c>
      <c r="Y16" t="e">
        <f>'附件4 规划外'!#REF!</f>
        <v>#REF!</v>
      </c>
      <c r="Z16" t="e">
        <f>'附件4 规划外'!#REF!</f>
        <v>#REF!</v>
      </c>
      <c r="AA16" t="e">
        <f>'附件4 规划外'!#REF!</f>
        <v>#REF!</v>
      </c>
      <c r="AB16" t="e">
        <f>'附件4 规划外'!#REF!</f>
        <v>#REF!</v>
      </c>
      <c r="AC16" t="e">
        <f>'附件4 规划外'!#REF!</f>
        <v>#REF!</v>
      </c>
      <c r="AD16" t="e">
        <f>'附件4 规划外'!#REF!</f>
        <v>#REF!</v>
      </c>
      <c r="AE16" t="e">
        <f>'附件4 规划外'!#REF!</f>
        <v>#REF!</v>
      </c>
      <c r="AF16" s="26" t="e">
        <f>'附件4 规划外'!#REF!</f>
        <v>#REF!</v>
      </c>
      <c r="AG16" s="26" t="e">
        <f>'附件4 规划外'!#REF!</f>
        <v>#REF!</v>
      </c>
      <c r="AH16" t="e">
        <f>'附件4 规划外'!#REF!</f>
        <v>#REF!</v>
      </c>
      <c r="AI16" t="e">
        <f>'附件4 规划外'!#REF!</f>
        <v>#REF!</v>
      </c>
      <c r="AJ16" t="e">
        <f>'附件4 规划外'!#REF!</f>
        <v>#REF!</v>
      </c>
      <c r="AK16" t="e">
        <f>'附件4 规划外'!#REF!</f>
        <v>#REF!</v>
      </c>
    </row>
    <row r="17" spans="1:37">
      <c r="A17">
        <f>'附件3 规划内'!A58</f>
        <v>57</v>
      </c>
      <c r="B17" t="str">
        <f>'附件3 规划内'!B58</f>
        <v>X013于宗线</v>
      </c>
      <c r="C17" t="str">
        <f>'附件3 规划内'!C58</f>
        <v>交通</v>
      </c>
      <c r="D17" t="str">
        <f>'附件3 规划内'!D58</f>
        <v>恢复重建道路5.6公里</v>
      </c>
      <c r="E17">
        <f>'附件3 规划内'!E58</f>
        <v>1575</v>
      </c>
      <c r="F17">
        <f>'附件3 规划内'!F58</f>
        <v>0</v>
      </c>
      <c r="G17">
        <f>'附件3 规划内'!G58</f>
        <v>1575</v>
      </c>
      <c r="H17">
        <f>'附件3 规划内'!H58</f>
        <v>0</v>
      </c>
      <c r="I17" t="str">
        <f>'附件3 规划内'!I58</f>
        <v>在建</v>
      </c>
      <c r="J17">
        <f>'附件3 规划内'!J58</f>
        <v>1440</v>
      </c>
      <c r="K17">
        <f>'附件3 规划内'!K58</f>
        <v>1440</v>
      </c>
      <c r="L17">
        <f>'附件3 规划内'!L58</f>
        <v>0</v>
      </c>
      <c r="M17" s="26">
        <f>'附件3 规划内'!M58</f>
        <v>44621</v>
      </c>
      <c r="N17" s="26">
        <f>'附件3 规划内'!N58</f>
        <v>44926</v>
      </c>
      <c r="O17" t="str">
        <f>'附件3 规划内'!O58</f>
        <v>市交通运输局</v>
      </c>
      <c r="P17" t="str">
        <f>'附件3 规划内'!P58</f>
        <v>杞县</v>
      </c>
      <c r="Q17">
        <f>'附件3 规划内'!Q58</f>
        <v>0</v>
      </c>
      <c r="R17" t="str">
        <f>'附件3 规划内'!R58</f>
        <v>2022年12月底 农村公路</v>
      </c>
      <c r="T17">
        <f>'附件4 规划外'!A27</f>
        <v>37</v>
      </c>
      <c r="U17" t="str">
        <f>'附件4 规划外'!B27</f>
        <v>兰考县Y071张金线张寨至刘林段改建工程</v>
      </c>
      <c r="V17" t="str">
        <f>'附件4 规划外'!C27</f>
        <v>交通</v>
      </c>
      <c r="W17" t="str">
        <f>'附件4 规划外'!D27</f>
        <v>三级公路6.672公里</v>
      </c>
      <c r="X17">
        <f>'附件4 规划外'!E27</f>
        <v>1286.39</v>
      </c>
      <c r="Y17">
        <f>'附件4 规划外'!F27</f>
        <v>0</v>
      </c>
      <c r="Z17">
        <f>'附件4 规划外'!G27</f>
        <v>1286.39</v>
      </c>
      <c r="AA17">
        <f>'附件4 规划外'!H27</f>
        <v>0</v>
      </c>
      <c r="AB17" t="str">
        <f>'附件4 规划外'!I27</f>
        <v>在建</v>
      </c>
      <c r="AC17">
        <f>'附件4 规划外'!J27</f>
        <v>830</v>
      </c>
      <c r="AD17">
        <f>'附件4 规划外'!K27</f>
        <v>830</v>
      </c>
      <c r="AE17" t="str">
        <f>'附件4 规划外'!L27</f>
        <v>在建</v>
      </c>
      <c r="AF17" s="26">
        <f>'附件4 规划外'!M27</f>
        <v>44562</v>
      </c>
      <c r="AG17" s="26">
        <f>'附件4 规划外'!N27</f>
        <v>44742</v>
      </c>
      <c r="AH17" t="str">
        <f>'附件4 规划外'!O27</f>
        <v>市交通运输局</v>
      </c>
      <c r="AI17" t="str">
        <f>'附件4 规划外'!P27</f>
        <v>兰考县</v>
      </c>
      <c r="AJ17">
        <f>'附件4 规划外'!Q27</f>
        <v>0</v>
      </c>
      <c r="AK17">
        <f>'附件4 规划外'!R27</f>
        <v>0</v>
      </c>
    </row>
    <row r="18" spans="1:37">
      <c r="A18">
        <f>'附件3 规划内'!A59</f>
        <v>58</v>
      </c>
      <c r="B18" t="str">
        <f>'附件3 规划内'!B59</f>
        <v>X012邢裴线</v>
      </c>
      <c r="C18" t="str">
        <f>'附件3 规划内'!C59</f>
        <v>交通</v>
      </c>
      <c r="D18" t="str">
        <f>'附件3 规划内'!D59</f>
        <v>恢复重建道路4.6公里</v>
      </c>
      <c r="E18">
        <f>'附件3 规划内'!E59</f>
        <v>1294</v>
      </c>
      <c r="F18">
        <f>'附件3 规划内'!F59</f>
        <v>0</v>
      </c>
      <c r="G18">
        <f>'附件3 规划内'!G59</f>
        <v>1294</v>
      </c>
      <c r="H18">
        <f>'附件3 规划内'!H59</f>
        <v>0</v>
      </c>
      <c r="I18" t="str">
        <f>'附件3 规划内'!I59</f>
        <v>完工</v>
      </c>
      <c r="J18">
        <f>'附件3 规划内'!J59</f>
        <v>1294</v>
      </c>
      <c r="K18">
        <f>'附件3 规划内'!K59</f>
        <v>1294</v>
      </c>
      <c r="L18">
        <f>'附件3 规划内'!L59</f>
        <v>0</v>
      </c>
      <c r="M18" s="26">
        <f>'附件3 规划内'!M59</f>
        <v>44621</v>
      </c>
      <c r="N18" s="26">
        <f>'附件3 规划内'!N59</f>
        <v>44926</v>
      </c>
      <c r="O18" t="str">
        <f>'附件3 规划内'!O59</f>
        <v>市交通运输局</v>
      </c>
      <c r="P18" t="str">
        <f>'附件3 规划内'!P59</f>
        <v>杞县</v>
      </c>
      <c r="Q18">
        <f>'附件3 规划内'!Q59</f>
        <v>0</v>
      </c>
      <c r="R18" t="str">
        <f>'附件3 规划内'!R59</f>
        <v>2022年12月底 农村公路</v>
      </c>
      <c r="T18">
        <f>'附件4 规划外'!A28</f>
        <v>38</v>
      </c>
      <c r="U18" t="str">
        <f>'附件4 规划外'!B28</f>
        <v>兰考县X063南周线南漳至圈里改建工程</v>
      </c>
      <c r="V18" t="str">
        <f>'附件4 规划外'!C28</f>
        <v>交通</v>
      </c>
      <c r="W18" t="str">
        <f>'附件4 规划外'!D28</f>
        <v>三级公路3.69公里</v>
      </c>
      <c r="X18">
        <f>'附件4 规划外'!E28</f>
        <v>611.32</v>
      </c>
      <c r="Y18">
        <f>'附件4 规划外'!F28</f>
        <v>0</v>
      </c>
      <c r="Z18">
        <f>'附件4 规划外'!G28</f>
        <v>611.32</v>
      </c>
      <c r="AA18">
        <f>'附件4 规划外'!H28</f>
        <v>0</v>
      </c>
      <c r="AB18" t="str">
        <f>'附件4 规划外'!I28</f>
        <v>在建</v>
      </c>
      <c r="AC18">
        <f>'附件4 规划外'!J28</f>
        <v>485</v>
      </c>
      <c r="AD18">
        <f>'附件4 规划外'!K28</f>
        <v>485</v>
      </c>
      <c r="AE18" t="str">
        <f>'附件4 规划外'!L28</f>
        <v>在建</v>
      </c>
      <c r="AF18" s="26">
        <f>'附件4 规划外'!M28</f>
        <v>44562</v>
      </c>
      <c r="AG18" s="26">
        <f>'附件4 规划外'!N28</f>
        <v>44742</v>
      </c>
      <c r="AH18" t="str">
        <f>'附件4 规划外'!O28</f>
        <v>市交通运输局</v>
      </c>
      <c r="AI18" t="str">
        <f>'附件4 规划外'!P28</f>
        <v>兰考县</v>
      </c>
      <c r="AJ18">
        <f>'附件4 规划外'!Q28</f>
        <v>0</v>
      </c>
      <c r="AK18">
        <f>'附件4 规划外'!R28</f>
        <v>0</v>
      </c>
    </row>
    <row r="19" spans="1:37">
      <c r="A19">
        <f>'附件3 规划内'!A60</f>
        <v>59</v>
      </c>
      <c r="B19" t="str">
        <f>'附件3 规划内'!B60</f>
        <v>X004高刘线</v>
      </c>
      <c r="C19" t="str">
        <f>'附件3 规划内'!C60</f>
        <v>交通</v>
      </c>
      <c r="D19" t="str">
        <f>'附件3 规划内'!D60</f>
        <v>恢复重建道路4.2公里</v>
      </c>
      <c r="E19">
        <f>'附件3 规划内'!E60</f>
        <v>1181</v>
      </c>
      <c r="F19">
        <f>'附件3 规划内'!F60</f>
        <v>15</v>
      </c>
      <c r="G19">
        <f>'附件3 规划内'!G60</f>
        <v>1166</v>
      </c>
      <c r="H19">
        <f>'附件3 规划内'!H60</f>
        <v>0</v>
      </c>
      <c r="I19" t="str">
        <f>'附件3 规划内'!I60</f>
        <v>在建</v>
      </c>
      <c r="J19">
        <f>'附件3 规划内'!J60</f>
        <v>1125</v>
      </c>
      <c r="K19">
        <f>'附件3 规划内'!K60</f>
        <v>1110</v>
      </c>
      <c r="L19">
        <f>'附件3 规划内'!L60</f>
        <v>0</v>
      </c>
      <c r="M19" s="26">
        <f>'附件3 规划内'!M60</f>
        <v>44621</v>
      </c>
      <c r="N19" s="26">
        <f>'附件3 规划内'!N60</f>
        <v>44926</v>
      </c>
      <c r="O19" t="str">
        <f>'附件3 规划内'!O60</f>
        <v>市交通运输局</v>
      </c>
      <c r="P19" t="str">
        <f>'附件3 规划内'!P60</f>
        <v>杞县</v>
      </c>
      <c r="Q19">
        <f>'附件3 规划内'!Q60</f>
        <v>0</v>
      </c>
      <c r="R19" t="str">
        <f>'附件3 规划内'!R60</f>
        <v>2022年12月底 农村公路</v>
      </c>
      <c r="T19">
        <f>'附件4 规划外'!A29</f>
        <v>39</v>
      </c>
      <c r="U19" t="str">
        <f>'附件4 规划外'!B29</f>
        <v>兰考县Y007前栗线前雷集至栗场段改建工程</v>
      </c>
      <c r="V19" t="str">
        <f>'附件4 规划外'!C29</f>
        <v>交通</v>
      </c>
      <c r="W19" t="str">
        <f>'附件4 规划外'!D29</f>
        <v>三级公路3.9公里</v>
      </c>
      <c r="X19">
        <f>'附件4 规划外'!E29</f>
        <v>816.15</v>
      </c>
      <c r="Y19">
        <f>'附件4 规划外'!F29</f>
        <v>0</v>
      </c>
      <c r="Z19">
        <f>'附件4 规划外'!G29</f>
        <v>816.15</v>
      </c>
      <c r="AA19">
        <f>'附件4 规划外'!H29</f>
        <v>0</v>
      </c>
      <c r="AB19" t="str">
        <f>'附件4 规划外'!I29</f>
        <v>在建</v>
      </c>
      <c r="AC19">
        <f>'附件4 规划外'!J29</f>
        <v>600</v>
      </c>
      <c r="AD19">
        <f>'附件4 规划外'!K29</f>
        <v>600</v>
      </c>
      <c r="AE19" t="str">
        <f>'附件4 规划外'!L29</f>
        <v>在建</v>
      </c>
      <c r="AF19" s="26">
        <f>'附件4 规划外'!M29</f>
        <v>44562</v>
      </c>
      <c r="AG19" s="26">
        <f>'附件4 规划外'!N29</f>
        <v>44742</v>
      </c>
      <c r="AH19" t="str">
        <f>'附件4 规划外'!O29</f>
        <v>市交通运输局</v>
      </c>
      <c r="AI19" t="str">
        <f>'附件4 规划外'!P29</f>
        <v>兰考县</v>
      </c>
      <c r="AJ19">
        <f>'附件4 规划外'!Q29</f>
        <v>0</v>
      </c>
      <c r="AK19">
        <f>'附件4 规划外'!R29</f>
        <v>0</v>
      </c>
    </row>
    <row r="20" spans="1:37">
      <c r="A20">
        <f>'附件3 规划内'!A61</f>
        <v>60</v>
      </c>
      <c r="B20" t="str">
        <f>'附件3 规划内'!B61</f>
        <v>团城西桥</v>
      </c>
      <c r="C20" t="str">
        <f>'附件3 规划内'!C61</f>
        <v>交通</v>
      </c>
      <c r="D20" t="str">
        <f>'附件3 规划内'!D61</f>
        <v>恢复重建桥梁12延米</v>
      </c>
      <c r="E20">
        <f>'附件3 规划内'!E61</f>
        <v>100</v>
      </c>
      <c r="F20">
        <f>'附件3 规划内'!F61</f>
        <v>20</v>
      </c>
      <c r="G20">
        <f>'附件3 规划内'!G61</f>
        <v>80</v>
      </c>
      <c r="H20">
        <f>'附件3 规划内'!H61</f>
        <v>0</v>
      </c>
      <c r="I20" t="str">
        <f>'附件3 规划内'!I61</f>
        <v>完工</v>
      </c>
      <c r="J20">
        <f>'附件3 规划内'!J61</f>
        <v>100</v>
      </c>
      <c r="K20">
        <f>'附件3 规划内'!K61</f>
        <v>80</v>
      </c>
      <c r="L20">
        <f>'附件3 规划内'!L61</f>
        <v>0</v>
      </c>
      <c r="M20" s="26">
        <f>'附件3 规划内'!M61</f>
        <v>44501</v>
      </c>
      <c r="N20" s="26">
        <f>'附件3 规划内'!N61</f>
        <v>44926</v>
      </c>
      <c r="O20" t="str">
        <f>'附件3 规划内'!O61</f>
        <v>市交通运输局</v>
      </c>
      <c r="P20" t="str">
        <f>'附件3 规划内'!P61</f>
        <v>杞县</v>
      </c>
      <c r="Q20">
        <f>'附件3 规划内'!Q61</f>
        <v>0</v>
      </c>
      <c r="R20" t="str">
        <f>'附件3 规划内'!R61</f>
        <v>2022年12月底 农村公路</v>
      </c>
      <c r="T20">
        <f>'附件4 规划外'!A30</f>
        <v>40</v>
      </c>
      <c r="U20" t="str">
        <f>'附件4 规划外'!B30</f>
        <v>兰考县Y006王固线G240至小付堂段改建工程</v>
      </c>
      <c r="V20" t="str">
        <f>'附件4 规划外'!C30</f>
        <v>交通</v>
      </c>
      <c r="W20" t="str">
        <f>'附件4 规划外'!D30</f>
        <v>三级公路2.3公里</v>
      </c>
      <c r="X20">
        <f>'附件4 规划外'!E30</f>
        <v>481.32</v>
      </c>
      <c r="Y20">
        <f>'附件4 规划外'!F30</f>
        <v>0</v>
      </c>
      <c r="Z20">
        <f>'附件4 规划外'!G30</f>
        <v>481.32</v>
      </c>
      <c r="AA20">
        <f>'附件4 规划外'!H30</f>
        <v>0</v>
      </c>
      <c r="AB20" t="str">
        <f>'附件4 规划外'!I30</f>
        <v>完工</v>
      </c>
      <c r="AC20">
        <f>'附件4 规划外'!J30</f>
        <v>481.32</v>
      </c>
      <c r="AD20">
        <f>'附件4 规划外'!K30</f>
        <v>481.32</v>
      </c>
      <c r="AE20" t="str">
        <f>'附件4 规划外'!L30</f>
        <v>完工</v>
      </c>
      <c r="AF20" s="26">
        <f>'附件4 规划外'!M30</f>
        <v>44562</v>
      </c>
      <c r="AG20" s="26">
        <f>'附件4 规划外'!N30</f>
        <v>44742</v>
      </c>
      <c r="AH20" t="str">
        <f>'附件4 规划外'!O30</f>
        <v>市交通运输局</v>
      </c>
      <c r="AI20" t="str">
        <f>'附件4 规划外'!P30</f>
        <v>兰考县</v>
      </c>
      <c r="AJ20">
        <f>'附件4 规划外'!Q30</f>
        <v>0</v>
      </c>
      <c r="AK20">
        <f>'附件4 规划外'!R30</f>
        <v>0</v>
      </c>
    </row>
    <row r="21" spans="1:37">
      <c r="A21">
        <f>'附件3 规划内'!A62</f>
        <v>61</v>
      </c>
      <c r="B21" t="str">
        <f>'附件3 规划内'!B62</f>
        <v>幸福渠桥</v>
      </c>
      <c r="C21" t="str">
        <f>'附件3 规划内'!C62</f>
        <v>交通</v>
      </c>
      <c r="D21" t="str">
        <f>'附件3 规划内'!D62</f>
        <v>恢复重建桥梁16延米</v>
      </c>
      <c r="E21">
        <f>'附件3 规划内'!E62</f>
        <v>135</v>
      </c>
      <c r="F21">
        <f>'附件3 规划内'!F62</f>
        <v>23.5</v>
      </c>
      <c r="G21">
        <f>'附件3 规划内'!G62</f>
        <v>111.5</v>
      </c>
      <c r="H21">
        <f>'附件3 规划内'!H62</f>
        <v>0</v>
      </c>
      <c r="I21" t="str">
        <f>'附件3 规划内'!I62</f>
        <v>完工</v>
      </c>
      <c r="J21">
        <f>'附件3 规划内'!J62</f>
        <v>135</v>
      </c>
      <c r="K21">
        <f>'附件3 规划内'!K62</f>
        <v>111.5</v>
      </c>
      <c r="L21">
        <f>'附件3 规划内'!L62</f>
        <v>0</v>
      </c>
      <c r="M21" s="26">
        <f>'附件3 规划内'!M62</f>
        <v>44501</v>
      </c>
      <c r="N21" s="26">
        <f>'附件3 规划内'!N62</f>
        <v>44926</v>
      </c>
      <c r="O21" t="str">
        <f>'附件3 规划内'!O62</f>
        <v>市交通运输局</v>
      </c>
      <c r="P21" t="str">
        <f>'附件3 规划内'!P62</f>
        <v>杞县</v>
      </c>
      <c r="Q21">
        <f>'附件3 规划内'!Q62</f>
        <v>0</v>
      </c>
      <c r="R21" t="str">
        <f>'附件3 规划内'!R62</f>
        <v>2022年12月底 农村公路</v>
      </c>
      <c r="T21">
        <f>'附件4 规划外'!A31</f>
        <v>41</v>
      </c>
      <c r="U21" t="str">
        <f>'附件4 规划外'!B31</f>
        <v>范场至岳候线</v>
      </c>
      <c r="V21" t="str">
        <f>'附件4 规划外'!C31</f>
        <v>交通</v>
      </c>
      <c r="W21" t="str">
        <f>'附件4 规划外'!D31</f>
        <v>三级公路3.095公里</v>
      </c>
      <c r="X21">
        <f>'附件4 规划外'!E31</f>
        <v>560.17</v>
      </c>
      <c r="Y21">
        <f>'附件4 规划外'!F31</f>
        <v>0</v>
      </c>
      <c r="Z21">
        <f>'附件4 规划外'!G31</f>
        <v>560.17</v>
      </c>
      <c r="AA21">
        <f>'附件4 规划外'!H31</f>
        <v>0</v>
      </c>
      <c r="AB21" t="str">
        <f>'附件4 规划外'!I31</f>
        <v>在建</v>
      </c>
      <c r="AC21">
        <f>'附件4 规划外'!J31</f>
        <v>465</v>
      </c>
      <c r="AD21">
        <f>'附件4 规划外'!K31</f>
        <v>465</v>
      </c>
      <c r="AE21" t="str">
        <f>'附件4 规划外'!L31</f>
        <v>在建</v>
      </c>
      <c r="AF21" s="26">
        <f>'附件4 规划外'!M31</f>
        <v>44562</v>
      </c>
      <c r="AG21" s="26">
        <f>'附件4 规划外'!N31</f>
        <v>44742</v>
      </c>
      <c r="AH21" t="str">
        <f>'附件4 规划外'!O31</f>
        <v>市交通运输局</v>
      </c>
      <c r="AI21" t="str">
        <f>'附件4 规划外'!P31</f>
        <v>兰考县</v>
      </c>
      <c r="AJ21">
        <f>'附件4 规划外'!Q31</f>
        <v>0</v>
      </c>
      <c r="AK21">
        <f>'附件4 规划外'!R31</f>
        <v>0</v>
      </c>
    </row>
    <row r="22" spans="1:33">
      <c r="A22">
        <f>'附件3 规划内'!A63</f>
        <v>62</v>
      </c>
      <c r="B22" t="str">
        <f>'附件3 规划内'!B63</f>
        <v>东风干渠桥</v>
      </c>
      <c r="C22" t="str">
        <f>'附件3 规划内'!C63</f>
        <v>交通</v>
      </c>
      <c r="D22" t="str">
        <f>'附件3 规划内'!D63</f>
        <v>恢复重建桥梁8延米</v>
      </c>
      <c r="E22">
        <f>'附件3 规划内'!E63</f>
        <v>67</v>
      </c>
      <c r="F22">
        <f>'附件3 规划内'!F63</f>
        <v>16.7</v>
      </c>
      <c r="G22">
        <f>'附件3 规划内'!G63</f>
        <v>50.3</v>
      </c>
      <c r="H22">
        <f>'附件3 规划内'!H63</f>
        <v>0</v>
      </c>
      <c r="I22" t="str">
        <f>'附件3 规划内'!I63</f>
        <v>完工</v>
      </c>
      <c r="J22">
        <f>'附件3 规划内'!J63</f>
        <v>67</v>
      </c>
      <c r="K22">
        <f>'附件3 规划内'!K63</f>
        <v>50.3</v>
      </c>
      <c r="L22">
        <f>'附件3 规划内'!L63</f>
        <v>0</v>
      </c>
      <c r="M22" s="26">
        <f>'附件3 规划内'!M63</f>
        <v>44501</v>
      </c>
      <c r="N22" s="26">
        <f>'附件3 规划内'!N63</f>
        <v>44926</v>
      </c>
      <c r="O22" t="str">
        <f>'附件3 规划内'!O63</f>
        <v>市交通运输局</v>
      </c>
      <c r="P22" t="str">
        <f>'附件3 规划内'!P63</f>
        <v>杞县</v>
      </c>
      <c r="Q22">
        <f>'附件3 规划内'!Q63</f>
        <v>0</v>
      </c>
      <c r="R22" t="str">
        <f>'附件3 规划内'!R63</f>
        <v>2022年12月底 农村公路</v>
      </c>
      <c r="AF22" s="26"/>
      <c r="AG22" s="26"/>
    </row>
    <row r="23" spans="1:18">
      <c r="A23">
        <f>'附件3 规划内'!A64</f>
        <v>63</v>
      </c>
      <c r="B23" t="str">
        <f>'附件3 规划内'!B64</f>
        <v>西铁岗东桥</v>
      </c>
      <c r="C23" t="str">
        <f>'附件3 规划内'!C64</f>
        <v>交通</v>
      </c>
      <c r="D23" t="str">
        <f>'附件3 规划内'!D64</f>
        <v>恢复重建桥梁39延米</v>
      </c>
      <c r="E23">
        <f>'附件3 规划内'!E64</f>
        <v>274</v>
      </c>
      <c r="F23">
        <f>'附件3 规划内'!F64</f>
        <v>35.4</v>
      </c>
      <c r="G23">
        <f>'附件3 规划内'!G64</f>
        <v>238.6</v>
      </c>
      <c r="H23">
        <f>'附件3 规划内'!H64</f>
        <v>0</v>
      </c>
      <c r="I23" t="str">
        <f>'附件3 规划内'!I64</f>
        <v>完工</v>
      </c>
      <c r="J23">
        <f>'附件3 规划内'!J64</f>
        <v>274</v>
      </c>
      <c r="K23">
        <f>'附件3 规划内'!K64</f>
        <v>238.6</v>
      </c>
      <c r="L23">
        <f>'附件3 规划内'!L64</f>
        <v>0</v>
      </c>
      <c r="M23" s="26">
        <f>'附件3 规划内'!M64</f>
        <v>44501</v>
      </c>
      <c r="N23" s="26">
        <f>'附件3 规划内'!N64</f>
        <v>44926</v>
      </c>
      <c r="O23" t="str">
        <f>'附件3 规划内'!O64</f>
        <v>市交通运输局</v>
      </c>
      <c r="P23" t="str">
        <f>'附件3 规划内'!P64</f>
        <v>杞县</v>
      </c>
      <c r="Q23">
        <f>'附件3 规划内'!Q64</f>
        <v>0</v>
      </c>
      <c r="R23" t="str">
        <f>'附件3 规划内'!R64</f>
        <v>2022年12月底 农村公路</v>
      </c>
    </row>
    <row r="24" spans="1:18">
      <c r="A24">
        <f>'附件3 规划内'!A65</f>
        <v>64</v>
      </c>
      <c r="B24" t="str">
        <f>'附件3 规划内'!B65</f>
        <v>田程寨西桥</v>
      </c>
      <c r="C24" t="str">
        <f>'附件3 规划内'!C65</f>
        <v>交通</v>
      </c>
      <c r="D24" t="str">
        <f>'附件3 规划内'!D65</f>
        <v>恢复重建桥梁13延米</v>
      </c>
      <c r="E24">
        <f>'附件3 规划内'!E65</f>
        <v>91</v>
      </c>
      <c r="F24">
        <f>'附件3 规划内'!F65</f>
        <v>18.1</v>
      </c>
      <c r="G24">
        <f>'附件3 规划内'!G65</f>
        <v>72.9</v>
      </c>
      <c r="H24">
        <f>'附件3 规划内'!H65</f>
        <v>0</v>
      </c>
      <c r="I24" t="str">
        <f>'附件3 规划内'!I65</f>
        <v>完工</v>
      </c>
      <c r="J24">
        <f>'附件3 规划内'!J65</f>
        <v>91</v>
      </c>
      <c r="K24">
        <f>'附件3 规划内'!K65</f>
        <v>72.9</v>
      </c>
      <c r="L24">
        <f>'附件3 规划内'!L65</f>
        <v>0</v>
      </c>
      <c r="M24" s="26">
        <f>'附件3 规划内'!M65</f>
        <v>44501</v>
      </c>
      <c r="N24" s="26">
        <f>'附件3 规划内'!N65</f>
        <v>44926</v>
      </c>
      <c r="O24" t="str">
        <f>'附件3 规划内'!O65</f>
        <v>市交通运输局</v>
      </c>
      <c r="P24" t="str">
        <f>'附件3 规划内'!P65</f>
        <v>杞县</v>
      </c>
      <c r="Q24">
        <f>'附件3 规划内'!Q65</f>
        <v>0</v>
      </c>
      <c r="R24" t="str">
        <f>'附件3 规划内'!R65</f>
        <v>2022年12月底 农村公路</v>
      </c>
    </row>
    <row r="25" spans="1:18">
      <c r="A25">
        <f>'附件3 规划内'!A66</f>
        <v>65</v>
      </c>
      <c r="B25" t="str">
        <f>'附件3 规划内'!B66</f>
        <v>小魏店北桥</v>
      </c>
      <c r="C25" t="str">
        <f>'附件3 规划内'!C66</f>
        <v>交通</v>
      </c>
      <c r="D25" t="str">
        <f>'附件3 规划内'!D66</f>
        <v>恢复重建桥梁15延米</v>
      </c>
      <c r="E25">
        <f>'附件3 规划内'!E66</f>
        <v>105</v>
      </c>
      <c r="F25">
        <f>'附件3 规划内'!F66</f>
        <v>15.5</v>
      </c>
      <c r="G25">
        <f>'附件3 规划内'!G66</f>
        <v>89.5</v>
      </c>
      <c r="H25">
        <f>'附件3 规划内'!H66</f>
        <v>0</v>
      </c>
      <c r="I25" t="str">
        <f>'附件3 规划内'!I66</f>
        <v>完工</v>
      </c>
      <c r="J25">
        <f>'附件3 规划内'!J66</f>
        <v>105</v>
      </c>
      <c r="K25">
        <f>'附件3 规划内'!K66</f>
        <v>89.5</v>
      </c>
      <c r="L25">
        <f>'附件3 规划内'!L66</f>
        <v>0</v>
      </c>
      <c r="M25" s="26">
        <f>'附件3 规划内'!M66</f>
        <v>44501</v>
      </c>
      <c r="N25" s="26">
        <f>'附件3 规划内'!N66</f>
        <v>44926</v>
      </c>
      <c r="O25" t="str">
        <f>'附件3 规划内'!O66</f>
        <v>市交通运输局</v>
      </c>
      <c r="P25" t="str">
        <f>'附件3 规划内'!P66</f>
        <v>杞县</v>
      </c>
      <c r="Q25">
        <f>'附件3 规划内'!Q66</f>
        <v>0</v>
      </c>
      <c r="R25" t="str">
        <f>'附件3 规划内'!R66</f>
        <v>2022年12月底 农村公路</v>
      </c>
    </row>
    <row r="26" spans="1:33">
      <c r="A26">
        <f>'附件3 规划内'!A67</f>
        <v>66</v>
      </c>
      <c r="B26" t="str">
        <f>'附件3 规划内'!B67</f>
        <v>李指挥屯南桥</v>
      </c>
      <c r="C26" t="str">
        <f>'附件3 规划内'!C67</f>
        <v>交通</v>
      </c>
      <c r="D26" t="str">
        <f>'附件3 规划内'!D67</f>
        <v>恢复重建桥梁22延米</v>
      </c>
      <c r="E26">
        <f>'附件3 规划内'!E67</f>
        <v>186</v>
      </c>
      <c r="F26">
        <f>'附件3 规划内'!F67</f>
        <v>20.6</v>
      </c>
      <c r="G26">
        <f>'附件3 规划内'!G67</f>
        <v>165.4</v>
      </c>
      <c r="H26">
        <f>'附件3 规划内'!H67</f>
        <v>0</v>
      </c>
      <c r="I26" t="str">
        <f>'附件3 规划内'!I67</f>
        <v>完工</v>
      </c>
      <c r="J26">
        <f>'附件3 规划内'!J67</f>
        <v>186</v>
      </c>
      <c r="K26">
        <f>'附件3 规划内'!K67</f>
        <v>165.4</v>
      </c>
      <c r="L26">
        <f>'附件3 规划内'!L67</f>
        <v>0</v>
      </c>
      <c r="M26" s="26">
        <f>'附件3 规划内'!M67</f>
        <v>44501</v>
      </c>
      <c r="N26" s="26">
        <f>'附件3 规划内'!N67</f>
        <v>44926</v>
      </c>
      <c r="O26" t="str">
        <f>'附件3 规划内'!O67</f>
        <v>市交通运输局</v>
      </c>
      <c r="P26" t="str">
        <f>'附件3 规划内'!P67</f>
        <v>杞县</v>
      </c>
      <c r="Q26">
        <f>'附件3 规划内'!Q67</f>
        <v>0</v>
      </c>
      <c r="R26" t="str">
        <f>'附件3 规划内'!R67</f>
        <v>2022年12月底 农村公路</v>
      </c>
      <c r="AF26" s="26"/>
      <c r="AG26" s="26"/>
    </row>
    <row r="27" spans="1:33">
      <c r="A27">
        <f>'附件3 规划内'!A68</f>
        <v>67</v>
      </c>
      <c r="B27" t="str">
        <f>'附件3 规划内'!B68</f>
        <v>淤泥河桥</v>
      </c>
      <c r="C27" t="str">
        <f>'附件3 规划内'!C68</f>
        <v>交通</v>
      </c>
      <c r="D27" t="str">
        <f>'附件3 规划内'!D68</f>
        <v>恢复重建桥梁45延米</v>
      </c>
      <c r="E27">
        <f>'附件3 规划内'!E68</f>
        <v>380</v>
      </c>
      <c r="F27">
        <f>'附件3 规划内'!F68</f>
        <v>0</v>
      </c>
      <c r="G27">
        <f>'附件3 规划内'!G68</f>
        <v>380</v>
      </c>
      <c r="H27">
        <f>'附件3 规划内'!H68</f>
        <v>0</v>
      </c>
      <c r="I27" t="str">
        <f>'附件3 规划内'!I68</f>
        <v>在建</v>
      </c>
      <c r="J27">
        <f>'附件3 规划内'!J68</f>
        <v>186</v>
      </c>
      <c r="K27">
        <f>'附件3 规划内'!K68</f>
        <v>186</v>
      </c>
      <c r="L27">
        <f>'附件3 规划内'!L68</f>
        <v>0</v>
      </c>
      <c r="M27" s="26">
        <f>'附件3 规划内'!M68</f>
        <v>44633</v>
      </c>
      <c r="N27" s="26">
        <f>'附件3 规划内'!N68</f>
        <v>44926</v>
      </c>
      <c r="O27" t="str">
        <f>'附件3 规划内'!O68</f>
        <v>市交通运输局</v>
      </c>
      <c r="P27" t="str">
        <f>'附件3 规划内'!P68</f>
        <v>杞县</v>
      </c>
      <c r="Q27">
        <f>'附件3 规划内'!Q68</f>
        <v>0</v>
      </c>
      <c r="R27" t="str">
        <f>'附件3 规划内'!R68</f>
        <v>2022年12月底 农村公路</v>
      </c>
      <c r="AF27" s="26"/>
      <c r="AG27" s="26"/>
    </row>
    <row r="28" spans="1:33">
      <c r="A28">
        <f>'附件3 规划内'!A69</f>
        <v>68</v>
      </c>
      <c r="B28" t="str">
        <f>'附件3 规划内'!B69</f>
        <v>北聂东桥</v>
      </c>
      <c r="C28" t="str">
        <f>'附件3 规划内'!C69</f>
        <v>交通</v>
      </c>
      <c r="D28" t="str">
        <f>'附件3 规划内'!D69</f>
        <v>恢复重建桥梁29延米</v>
      </c>
      <c r="E28">
        <f>'附件3 规划内'!E69</f>
        <v>204</v>
      </c>
      <c r="F28">
        <f>'附件3 规划内'!F69</f>
        <v>0</v>
      </c>
      <c r="G28">
        <f>'附件3 规划内'!G69</f>
        <v>204</v>
      </c>
      <c r="H28">
        <f>'附件3 规划内'!H69</f>
        <v>0</v>
      </c>
      <c r="I28" t="str">
        <f>'附件3 规划内'!I69</f>
        <v>完工</v>
      </c>
      <c r="J28">
        <f>'附件3 规划内'!J69</f>
        <v>204</v>
      </c>
      <c r="K28">
        <f>'附件3 规划内'!K69</f>
        <v>204</v>
      </c>
      <c r="L28">
        <f>'附件3 规划内'!L69</f>
        <v>0</v>
      </c>
      <c r="M28" s="26">
        <f>'附件3 规划内'!M69</f>
        <v>44633</v>
      </c>
      <c r="N28" s="26">
        <f>'附件3 规划内'!N69</f>
        <v>44926</v>
      </c>
      <c r="O28" t="str">
        <f>'附件3 规划内'!O69</f>
        <v>市交通运输局</v>
      </c>
      <c r="P28" t="str">
        <f>'附件3 规划内'!P69</f>
        <v>杞县</v>
      </c>
      <c r="Q28">
        <f>'附件3 规划内'!Q69</f>
        <v>0</v>
      </c>
      <c r="R28" t="str">
        <f>'附件3 规划内'!R69</f>
        <v>2022年12月底 农村公路</v>
      </c>
      <c r="AF28" s="26"/>
      <c r="AG28" s="26"/>
    </row>
    <row r="29" spans="1:33">
      <c r="A29">
        <f>'附件3 规划内'!A70</f>
        <v>69</v>
      </c>
      <c r="B29" t="str">
        <f>'附件3 规划内'!B70</f>
        <v>马大夫西桥</v>
      </c>
      <c r="C29" t="str">
        <f>'附件3 规划内'!C70</f>
        <v>交通</v>
      </c>
      <c r="D29" t="str">
        <f>'附件3 规划内'!D70</f>
        <v>恢复重建桥梁29延米</v>
      </c>
      <c r="E29">
        <f>'附件3 规划内'!E70</f>
        <v>204</v>
      </c>
      <c r="F29">
        <f>'附件3 规划内'!F70</f>
        <v>0</v>
      </c>
      <c r="G29">
        <f>'附件3 规划内'!G70</f>
        <v>204</v>
      </c>
      <c r="H29">
        <f>'附件3 规划内'!H70</f>
        <v>0</v>
      </c>
      <c r="I29" t="str">
        <f>'附件3 规划内'!I70</f>
        <v>完工</v>
      </c>
      <c r="J29">
        <f>'附件3 规划内'!J70</f>
        <v>204</v>
      </c>
      <c r="K29">
        <f>'附件3 规划内'!K70</f>
        <v>204</v>
      </c>
      <c r="L29">
        <f>'附件3 规划内'!L70</f>
        <v>0</v>
      </c>
      <c r="M29" s="26">
        <f>'附件3 规划内'!M70</f>
        <v>44633</v>
      </c>
      <c r="N29" s="26">
        <f>'附件3 规划内'!N70</f>
        <v>44926</v>
      </c>
      <c r="O29" t="str">
        <f>'附件3 规划内'!O70</f>
        <v>市交通运输局</v>
      </c>
      <c r="P29" t="str">
        <f>'附件3 规划内'!P70</f>
        <v>杞县</v>
      </c>
      <c r="Q29">
        <f>'附件3 规划内'!Q70</f>
        <v>0</v>
      </c>
      <c r="R29" t="str">
        <f>'附件3 规划内'!R70</f>
        <v>2022年12月底 农村公路</v>
      </c>
      <c r="AF29" s="26"/>
      <c r="AG29" s="26"/>
    </row>
    <row r="30" spans="1:33">
      <c r="A30">
        <f>'附件3 规划内'!A71</f>
        <v>70</v>
      </c>
      <c r="B30" t="str">
        <f>'附件3 规划内'!B71</f>
        <v>X002北前线张市至后寨段改建工程</v>
      </c>
      <c r="C30" t="str">
        <f>'附件3 规划内'!C71</f>
        <v>交通</v>
      </c>
      <c r="D30" t="str">
        <f>'附件3 规划内'!D71</f>
        <v>恢复重建道路5公里</v>
      </c>
      <c r="E30">
        <f>'附件3 规划内'!E71</f>
        <v>1660</v>
      </c>
      <c r="F30">
        <f>'附件3 规划内'!F71</f>
        <v>450</v>
      </c>
      <c r="G30">
        <f>'附件3 规划内'!G71</f>
        <v>1210</v>
      </c>
      <c r="H30">
        <f>'附件3 规划内'!H71</f>
        <v>0</v>
      </c>
      <c r="I30" t="str">
        <f>'附件3 规划内'!I71</f>
        <v>完工</v>
      </c>
      <c r="J30">
        <f>'附件3 规划内'!J71</f>
        <v>1660</v>
      </c>
      <c r="K30">
        <f>'附件3 规划内'!K71</f>
        <v>1210</v>
      </c>
      <c r="L30">
        <f>'附件3 规划内'!L71</f>
        <v>0</v>
      </c>
      <c r="M30" s="26">
        <f>'附件3 规划内'!M71</f>
        <v>44530</v>
      </c>
      <c r="N30" s="26">
        <f>'附件3 规划内'!N71</f>
        <v>44742</v>
      </c>
      <c r="O30" t="str">
        <f>'附件3 规划内'!O71</f>
        <v>市交通运输局</v>
      </c>
      <c r="P30" t="str">
        <f>'附件3 规划内'!P71</f>
        <v>尉氏县</v>
      </c>
      <c r="Q30">
        <f>'附件3 规划内'!Q71</f>
        <v>0</v>
      </c>
      <c r="R30" t="str">
        <f>'附件3 规划内'!R71</f>
        <v>2022年6月底 农村公路</v>
      </c>
      <c r="AF30" s="26"/>
      <c r="AG30" s="26"/>
    </row>
    <row r="31" spans="1:33">
      <c r="A31">
        <f>'附件3 规划内'!A72</f>
        <v>71</v>
      </c>
      <c r="B31" t="str">
        <f>'附件3 规划内'!B72</f>
        <v>大洧线改建工程</v>
      </c>
      <c r="C31" t="str">
        <f>'附件3 规划内'!C72</f>
        <v>交通</v>
      </c>
      <c r="D31" t="str">
        <f>'附件3 规划内'!D72</f>
        <v>恢复重建道路3.6公里</v>
      </c>
      <c r="E31">
        <f>'附件3 规划内'!E72</f>
        <v>930</v>
      </c>
      <c r="F31">
        <f>'附件3 规划内'!F72</f>
        <v>550</v>
      </c>
      <c r="G31">
        <f>'附件3 规划内'!G72</f>
        <v>380</v>
      </c>
      <c r="H31">
        <f>'附件3 规划内'!H72</f>
        <v>0</v>
      </c>
      <c r="I31" t="str">
        <f>'附件3 规划内'!I72</f>
        <v>完工</v>
      </c>
      <c r="J31">
        <f>'附件3 规划内'!J72</f>
        <v>930</v>
      </c>
      <c r="K31">
        <f>'附件3 规划内'!K72</f>
        <v>380</v>
      </c>
      <c r="L31">
        <f>'附件3 规划内'!L72</f>
        <v>0</v>
      </c>
      <c r="M31" s="26">
        <f>'附件3 规划内'!M72</f>
        <v>44522</v>
      </c>
      <c r="N31" s="26">
        <f>'附件3 规划内'!N72</f>
        <v>44742</v>
      </c>
      <c r="O31" t="str">
        <f>'附件3 规划内'!O72</f>
        <v>市交通运输局</v>
      </c>
      <c r="P31" t="str">
        <f>'附件3 规划内'!P72</f>
        <v>尉氏县</v>
      </c>
      <c r="Q31">
        <f>'附件3 规划内'!Q72</f>
        <v>0</v>
      </c>
      <c r="R31" t="str">
        <f>'附件3 规划内'!R72</f>
        <v>2022年6月底 农村公路</v>
      </c>
      <c r="AF31" s="26"/>
      <c r="AG31" s="26"/>
    </row>
    <row r="32" spans="1:33">
      <c r="A32">
        <f>'附件3 规划内'!A73</f>
        <v>72</v>
      </c>
      <c r="B32" t="str">
        <f>'附件3 规划内'!B73</f>
        <v>霍寨桥</v>
      </c>
      <c r="C32" t="str">
        <f>'附件3 规划内'!C73</f>
        <v>交通</v>
      </c>
      <c r="D32" t="str">
        <f>'附件3 规划内'!D73</f>
        <v>恢复重建桥梁36延米</v>
      </c>
      <c r="E32">
        <f>'附件3 规划内'!E73</f>
        <v>220</v>
      </c>
      <c r="F32">
        <f>'附件3 规划内'!F73</f>
        <v>100</v>
      </c>
      <c r="G32">
        <f>'附件3 规划内'!G73</f>
        <v>120</v>
      </c>
      <c r="H32">
        <f>'附件3 规划内'!H73</f>
        <v>0</v>
      </c>
      <c r="I32" t="str">
        <f>'附件3 规划内'!I73</f>
        <v>完工</v>
      </c>
      <c r="J32">
        <f>'附件3 规划内'!J73</f>
        <v>220</v>
      </c>
      <c r="K32">
        <f>'附件3 规划内'!K73</f>
        <v>120</v>
      </c>
      <c r="L32">
        <f>'附件3 规划内'!L73</f>
        <v>0</v>
      </c>
      <c r="M32" s="26">
        <f>'附件3 规划内'!M73</f>
        <v>44522</v>
      </c>
      <c r="N32" s="26">
        <f>'附件3 规划内'!N73</f>
        <v>44742</v>
      </c>
      <c r="O32" t="str">
        <f>'附件3 规划内'!O73</f>
        <v>市交通运输局</v>
      </c>
      <c r="P32" t="str">
        <f>'附件3 规划内'!P73</f>
        <v>尉氏县</v>
      </c>
      <c r="Q32">
        <f>'附件3 规划内'!Q73</f>
        <v>0</v>
      </c>
      <c r="R32" t="str">
        <f>'附件3 规划内'!R73</f>
        <v>2022年6月底 农村公路</v>
      </c>
      <c r="AF32" s="26"/>
      <c r="AG32" s="26"/>
    </row>
    <row r="33" spans="1:33">
      <c r="A33">
        <f>'附件3 规划内'!A74</f>
        <v>73</v>
      </c>
      <c r="B33" t="str">
        <f>'附件3 规划内'!B74</f>
        <v>X011户北线</v>
      </c>
      <c r="C33" t="str">
        <f>'附件3 规划内'!C74</f>
        <v>交通</v>
      </c>
      <c r="D33" t="str">
        <f>'附件3 规划内'!D74</f>
        <v>恢复重建道路7.157公里</v>
      </c>
      <c r="E33">
        <f>'附件3 规划内'!E74</f>
        <v>2179.046</v>
      </c>
      <c r="F33">
        <f>'附件3 规划内'!F74</f>
        <v>50</v>
      </c>
      <c r="G33">
        <f>'附件3 规划内'!G74</f>
        <v>2129.046</v>
      </c>
      <c r="H33">
        <f>'附件3 规划内'!H74</f>
        <v>0</v>
      </c>
      <c r="I33" t="str">
        <f>'附件3 规划内'!I74</f>
        <v>完工</v>
      </c>
      <c r="J33">
        <f>'附件3 规划内'!J74</f>
        <v>2179.046</v>
      </c>
      <c r="K33">
        <f>'附件3 规划内'!K74</f>
        <v>2129.046</v>
      </c>
      <c r="L33">
        <f>'附件3 规划内'!L74</f>
        <v>0</v>
      </c>
      <c r="M33" s="26">
        <f>'附件3 规划内'!M74</f>
        <v>44550</v>
      </c>
      <c r="N33" s="26">
        <f>'附件3 规划内'!N74</f>
        <v>44926</v>
      </c>
      <c r="O33" t="str">
        <f>'附件3 规划内'!O74</f>
        <v>市交通运输局</v>
      </c>
      <c r="P33" t="str">
        <f>'附件3 规划内'!P74</f>
        <v>通许县</v>
      </c>
      <c r="Q33">
        <f>'附件3 规划内'!Q74</f>
        <v>0</v>
      </c>
      <c r="R33" t="str">
        <f>'附件3 规划内'!R74</f>
        <v>2022年12月底 农村公路</v>
      </c>
      <c r="AF33" s="26"/>
      <c r="AG33" s="26"/>
    </row>
    <row r="34" spans="1:33">
      <c r="A34">
        <f>'附件3 规划内'!A75</f>
        <v>74</v>
      </c>
      <c r="B34" t="str">
        <f>'附件3 规划内'!B75</f>
        <v>Y034裴庄-百里池</v>
      </c>
      <c r="C34" t="str">
        <f>'附件3 规划内'!C75</f>
        <v>交通</v>
      </c>
      <c r="D34" t="str">
        <f>'附件3 规划内'!D75</f>
        <v>恢复重建道路6公里</v>
      </c>
      <c r="E34">
        <f>'附件3 规划内'!E75</f>
        <v>2157</v>
      </c>
      <c r="F34">
        <f>'附件3 规划内'!F75</f>
        <v>30</v>
      </c>
      <c r="G34">
        <f>'附件3 规划内'!G75</f>
        <v>2127</v>
      </c>
      <c r="H34">
        <f>'附件3 规划内'!H75</f>
        <v>0</v>
      </c>
      <c r="I34" t="str">
        <f>'附件3 规划内'!I75</f>
        <v>完工</v>
      </c>
      <c r="J34">
        <f>'附件3 规划内'!J75</f>
        <v>2157</v>
      </c>
      <c r="K34">
        <f>'附件3 规划内'!K75</f>
        <v>2127</v>
      </c>
      <c r="L34">
        <f>'附件3 规划内'!L75</f>
        <v>0</v>
      </c>
      <c r="M34" s="26">
        <f>'附件3 规划内'!M75</f>
        <v>44560</v>
      </c>
      <c r="N34" s="26">
        <f>'附件3 规划内'!N75</f>
        <v>44926</v>
      </c>
      <c r="O34" t="str">
        <f>'附件3 规划内'!O75</f>
        <v>市交通运输局</v>
      </c>
      <c r="P34" t="str">
        <f>'附件3 规划内'!P75</f>
        <v>通许县</v>
      </c>
      <c r="Q34">
        <f>'附件3 规划内'!Q75</f>
        <v>0</v>
      </c>
      <c r="R34" t="str">
        <f>'附件3 规划内'!R75</f>
        <v>2022年12月底 农村公路</v>
      </c>
      <c r="T34" s="33"/>
      <c r="AF34" s="26"/>
      <c r="AG34" s="26"/>
    </row>
    <row r="35" spans="1:33">
      <c r="A35">
        <f>'附件3 规划内'!A76</f>
        <v>75</v>
      </c>
      <c r="B35" t="str">
        <f>'附件3 规划内'!B76</f>
        <v>X013半坡店-朱仙镇</v>
      </c>
      <c r="C35" t="str">
        <f>'附件3 规划内'!C76</f>
        <v>交通</v>
      </c>
      <c r="D35" t="str">
        <f>'附件3 规划内'!D76</f>
        <v>恢复重建道路21.13公里</v>
      </c>
      <c r="E35">
        <f>'附件3 规划内'!E76</f>
        <v>13730</v>
      </c>
      <c r="F35">
        <f>'附件3 规划内'!F76</f>
        <v>2899</v>
      </c>
      <c r="G35">
        <f>'附件3 规划内'!G76</f>
        <v>10831</v>
      </c>
      <c r="H35">
        <f>'附件3 规划内'!H76</f>
        <v>0</v>
      </c>
      <c r="I35" t="str">
        <f>'附件3 规划内'!I76</f>
        <v>在建</v>
      </c>
      <c r="J35">
        <f>'附件3 规划内'!J76</f>
        <v>10700</v>
      </c>
      <c r="K35">
        <f>'附件3 规划内'!K76</f>
        <v>7801</v>
      </c>
      <c r="L35">
        <f>'附件3 规划内'!L76</f>
        <v>0</v>
      </c>
      <c r="M35" s="26">
        <f>'附件3 规划内'!M76</f>
        <v>44470</v>
      </c>
      <c r="N35" s="26">
        <f>'附件3 规划内'!N76</f>
        <v>44926</v>
      </c>
      <c r="O35" t="str">
        <f>'附件3 规划内'!O76</f>
        <v>市交通运输局</v>
      </c>
      <c r="P35" t="str">
        <f>'附件3 规划内'!P76</f>
        <v>祥符区</v>
      </c>
      <c r="Q35">
        <f>'附件3 规划内'!Q76</f>
        <v>0</v>
      </c>
      <c r="R35" t="str">
        <f>'附件3 规划内'!R76</f>
        <v>2022年12月底 农村公路</v>
      </c>
      <c r="AF35" s="26"/>
      <c r="AG35" s="26"/>
    </row>
    <row r="36" spans="1:33">
      <c r="A36">
        <f>'附件3 规划内'!A77</f>
        <v>76</v>
      </c>
      <c r="B36" t="str">
        <f>'附件3 规划内'!B77</f>
        <v>Y006魏沈线</v>
      </c>
      <c r="C36" t="str">
        <f>'附件3 规划内'!C77</f>
        <v>交通</v>
      </c>
      <c r="D36" t="str">
        <f>'附件3 规划内'!D77</f>
        <v>恢复重建道路5.4公里</v>
      </c>
      <c r="E36">
        <f>'附件3 规划内'!E77</f>
        <v>1791</v>
      </c>
      <c r="F36">
        <f>'附件3 规划内'!F77</f>
        <v>128</v>
      </c>
      <c r="G36">
        <f>'附件3 规划内'!G77</f>
        <v>1663</v>
      </c>
      <c r="H36">
        <f>'附件3 规划内'!H77</f>
        <v>0</v>
      </c>
      <c r="I36" t="str">
        <f>'附件3 规划内'!I77</f>
        <v>在建</v>
      </c>
      <c r="J36">
        <f>'附件3 规划内'!J77</f>
        <v>1760</v>
      </c>
      <c r="K36">
        <f>'附件3 规划内'!K77</f>
        <v>1632</v>
      </c>
      <c r="L36">
        <f>'附件3 规划内'!L77</f>
        <v>0</v>
      </c>
      <c r="M36" s="26">
        <f>'附件3 规划内'!M77</f>
        <v>44523</v>
      </c>
      <c r="N36" s="26">
        <f>'附件3 规划内'!N77</f>
        <v>44926</v>
      </c>
      <c r="O36" t="str">
        <f>'附件3 规划内'!O77</f>
        <v>市交通运输局</v>
      </c>
      <c r="P36" t="str">
        <f>'附件3 规划内'!P77</f>
        <v>祥符区</v>
      </c>
      <c r="Q36">
        <f>'附件3 规划内'!Q77</f>
        <v>0</v>
      </c>
      <c r="R36" t="str">
        <f>'附件3 规划内'!R77</f>
        <v>2022年12月底 农村公路</v>
      </c>
      <c r="AF36" s="26"/>
      <c r="AG36" s="26"/>
    </row>
    <row r="37" spans="1:33">
      <c r="A37">
        <f>'附件3 规划内'!A78</f>
        <v>77</v>
      </c>
      <c r="B37" t="str">
        <f>'附件3 规划内'!B78</f>
        <v>念张-郭厂村</v>
      </c>
      <c r="C37" t="str">
        <f>'附件3 规划内'!C78</f>
        <v>交通</v>
      </c>
      <c r="D37" t="str">
        <f>'附件3 规划内'!D78</f>
        <v>恢复重建道路3.9公里</v>
      </c>
      <c r="E37">
        <f>'附件3 规划内'!E78</f>
        <v>1338</v>
      </c>
      <c r="F37">
        <f>'附件3 规划内'!F78</f>
        <v>225</v>
      </c>
      <c r="G37">
        <f>'附件3 规划内'!G78</f>
        <v>1113</v>
      </c>
      <c r="H37">
        <f>'附件3 规划内'!H78</f>
        <v>0</v>
      </c>
      <c r="I37" t="str">
        <f>'附件3 规划内'!I78</f>
        <v>完工</v>
      </c>
      <c r="J37">
        <f>'附件3 规划内'!J78</f>
        <v>1338</v>
      </c>
      <c r="K37">
        <f>'附件3 规划内'!K78</f>
        <v>1113</v>
      </c>
      <c r="L37">
        <f>'附件3 规划内'!L78</f>
        <v>0</v>
      </c>
      <c r="M37" s="26">
        <f>'附件3 规划内'!M78</f>
        <v>44523</v>
      </c>
      <c r="N37" s="26">
        <f>'附件3 规划内'!N78</f>
        <v>44926</v>
      </c>
      <c r="O37" t="str">
        <f>'附件3 规划内'!O78</f>
        <v>市交通运输局</v>
      </c>
      <c r="P37" t="str">
        <f>'附件3 规划内'!P78</f>
        <v>祥符区</v>
      </c>
      <c r="Q37">
        <f>'附件3 规划内'!Q78</f>
        <v>0</v>
      </c>
      <c r="R37" t="str">
        <f>'附件3 规划内'!R78</f>
        <v>2022年12月底 农村公路</v>
      </c>
      <c r="AF37" s="26"/>
      <c r="AG37" s="26"/>
    </row>
    <row r="38" spans="1:33">
      <c r="A38">
        <f>'附件3 规划内'!A79</f>
        <v>78</v>
      </c>
      <c r="B38" t="str">
        <f>'附件3 规划内'!B79</f>
        <v>陈八路</v>
      </c>
      <c r="C38" t="str">
        <f>'附件3 规划内'!C79</f>
        <v>交通</v>
      </c>
      <c r="D38" t="str">
        <f>'附件3 规划内'!D79</f>
        <v>恢复重建道路10.9公里</v>
      </c>
      <c r="E38">
        <f>'附件3 规划内'!E79</f>
        <v>4266</v>
      </c>
      <c r="F38">
        <f>'附件3 规划内'!F79</f>
        <v>145</v>
      </c>
      <c r="G38">
        <f>'附件3 规划内'!G79</f>
        <v>4121</v>
      </c>
      <c r="H38">
        <f>'附件3 规划内'!H79</f>
        <v>0</v>
      </c>
      <c r="I38" t="str">
        <f>'附件3 规划内'!I79</f>
        <v>完工</v>
      </c>
      <c r="J38">
        <f>'附件3 规划内'!J79</f>
        <v>4266</v>
      </c>
      <c r="K38">
        <f>'附件3 规划内'!K79</f>
        <v>4121</v>
      </c>
      <c r="L38">
        <f>'附件3 规划内'!L79</f>
        <v>0</v>
      </c>
      <c r="M38" s="26">
        <f>'附件3 规划内'!M79</f>
        <v>44523</v>
      </c>
      <c r="N38" s="26">
        <f>'附件3 规划内'!N79</f>
        <v>44926</v>
      </c>
      <c r="O38" t="str">
        <f>'附件3 规划内'!O79</f>
        <v>市交通运输局</v>
      </c>
      <c r="P38" t="str">
        <f>'附件3 规划内'!P79</f>
        <v>祥符区</v>
      </c>
      <c r="Q38">
        <f>'附件3 规划内'!Q79</f>
        <v>0</v>
      </c>
      <c r="R38" t="str">
        <f>'附件3 规划内'!R79</f>
        <v>2022年12月底 农村公路</v>
      </c>
      <c r="AF38" s="26"/>
      <c r="AG38" s="26"/>
    </row>
    <row r="39" spans="1:33">
      <c r="A39">
        <f>'附件3 规划内'!A80</f>
        <v>79</v>
      </c>
      <c r="B39" t="str">
        <f>'附件3 规划内'!B80</f>
        <v>东刘线东里村段恢复重建</v>
      </c>
      <c r="C39" t="str">
        <f>'附件3 规划内'!C80</f>
        <v>交通</v>
      </c>
      <c r="D39" t="str">
        <f>'附件3 规划内'!D80</f>
        <v>恢复重建道路2.213公里</v>
      </c>
      <c r="E39">
        <f>'附件3 规划内'!E80</f>
        <v>219</v>
      </c>
      <c r="F39">
        <f>'附件3 规划内'!F80</f>
        <v>219</v>
      </c>
      <c r="G39">
        <f>'附件3 规划内'!G80</f>
        <v>0</v>
      </c>
      <c r="H39">
        <f>'附件3 规划内'!H80</f>
        <v>0</v>
      </c>
      <c r="I39" t="str">
        <f>'附件3 规划内'!I80</f>
        <v>完工</v>
      </c>
      <c r="J39">
        <f>'附件3 规划内'!J80</f>
        <v>219</v>
      </c>
      <c r="K39" t="str">
        <f>'附件3 规划内'!K80</f>
        <v/>
      </c>
      <c r="L39">
        <f>'附件3 规划内'!L80</f>
        <v>0</v>
      </c>
      <c r="M39" s="26">
        <f>'附件3 规划内'!M80</f>
        <v>44523</v>
      </c>
      <c r="N39" s="26">
        <f>'附件3 规划内'!N80</f>
        <v>44558</v>
      </c>
      <c r="O39" t="str">
        <f>'附件3 规划内'!O80</f>
        <v>市交通运输局</v>
      </c>
      <c r="P39" t="str">
        <f>'附件3 规划内'!P80</f>
        <v>祥符区</v>
      </c>
      <c r="Q39">
        <f>'附件3 规划内'!Q80</f>
        <v>0</v>
      </c>
      <c r="R39" t="str">
        <f>'附件3 规划内'!R80</f>
        <v>2021年已建成</v>
      </c>
      <c r="AF39" s="26"/>
      <c r="AG39" s="26"/>
    </row>
    <row r="40" spans="1:33">
      <c r="A40">
        <f>'附件3 规划内'!A81</f>
        <v>80</v>
      </c>
      <c r="B40" t="str">
        <f>'附件3 规划内'!B81</f>
        <v>尉氏县通村公路恢复重建项目</v>
      </c>
      <c r="C40" t="str">
        <f>'附件3 规划内'!C81</f>
        <v>交通</v>
      </c>
      <c r="D40" t="str">
        <f>'附件3 规划内'!D81</f>
        <v>恢复重建道路1.3公里</v>
      </c>
      <c r="E40">
        <f>'附件3 规划内'!E81</f>
        <v>140</v>
      </c>
      <c r="F40">
        <f>'附件3 规划内'!F81</f>
        <v>100</v>
      </c>
      <c r="G40">
        <f>'附件3 规划内'!G81</f>
        <v>40</v>
      </c>
      <c r="H40">
        <f>'附件3 规划内'!H81</f>
        <v>0</v>
      </c>
      <c r="I40" t="str">
        <f>'附件3 规划内'!I81</f>
        <v>完工</v>
      </c>
      <c r="J40">
        <f>'附件3 规划内'!J81</f>
        <v>140</v>
      </c>
      <c r="K40">
        <f>'附件3 规划内'!K81</f>
        <v>40</v>
      </c>
      <c r="L40">
        <f>'附件3 规划内'!L81</f>
        <v>0</v>
      </c>
      <c r="M40" s="26">
        <f>'附件3 规划内'!M81</f>
        <v>44522</v>
      </c>
      <c r="N40" s="26">
        <f>'附件3 规划内'!N81</f>
        <v>44742</v>
      </c>
      <c r="O40" t="str">
        <f>'附件3 规划内'!O81</f>
        <v>市交通运输局</v>
      </c>
      <c r="P40" t="str">
        <f>'附件3 规划内'!P81</f>
        <v>尉氏县</v>
      </c>
      <c r="Q40">
        <f>'附件3 规划内'!Q81</f>
        <v>0</v>
      </c>
      <c r="R40" t="str">
        <f>'附件3 规划内'!R81</f>
        <v>2022年6月底 农村公路</v>
      </c>
      <c r="AF40" s="26"/>
      <c r="AG40" s="26"/>
    </row>
    <row r="41" spans="1:18">
      <c r="A41">
        <f>'附件3 规划内'!A82</f>
        <v>81</v>
      </c>
      <c r="B41" t="str">
        <f>'附件3 规划内'!B82</f>
        <v>祥符区通村公路恢复重建项目</v>
      </c>
      <c r="C41" t="str">
        <f>'附件3 规划内'!C82</f>
        <v>交通</v>
      </c>
      <c r="D41" t="str">
        <f>'附件3 规划内'!D82</f>
        <v>恢复重建道路20公里</v>
      </c>
      <c r="E41">
        <f>'附件3 规划内'!E82</f>
        <v>2000</v>
      </c>
      <c r="F41">
        <f>'附件3 规划内'!F82</f>
        <v>300</v>
      </c>
      <c r="G41">
        <f>'附件3 规划内'!G82</f>
        <v>1700</v>
      </c>
      <c r="H41">
        <f>'附件3 规划内'!H82</f>
        <v>0</v>
      </c>
      <c r="I41" t="str">
        <f>'附件3 规划内'!I82</f>
        <v>完工</v>
      </c>
      <c r="J41">
        <f>'附件3 规划内'!J82</f>
        <v>2000</v>
      </c>
      <c r="K41">
        <f>'附件3 规划内'!K82</f>
        <v>1700</v>
      </c>
      <c r="L41">
        <f>'附件3 规划内'!L82</f>
        <v>0</v>
      </c>
      <c r="M41" s="26">
        <f>'附件3 规划内'!M82</f>
        <v>44523</v>
      </c>
      <c r="N41" s="26">
        <f>'附件3 规划内'!N82</f>
        <v>44926</v>
      </c>
      <c r="O41" t="str">
        <f>'附件3 规划内'!O82</f>
        <v>市交通运输局</v>
      </c>
      <c r="P41" t="str">
        <f>'附件3 规划内'!P82</f>
        <v>祥符区</v>
      </c>
      <c r="Q41">
        <f>'附件3 规划内'!Q82</f>
        <v>0</v>
      </c>
      <c r="R41" t="str">
        <f>'附件3 规划内'!R82</f>
        <v>2022年12月底 农村公路</v>
      </c>
    </row>
    <row r="42" spans="1:18">
      <c r="A42">
        <f>'附件3 规划内'!A83</f>
        <v>82</v>
      </c>
      <c r="B42" t="str">
        <f>'附件3 规划内'!B83</f>
        <v>S223线东三干渠至北康沟河桥段灾后恢复重建工程</v>
      </c>
      <c r="C42" t="str">
        <f>'附件3 规划内'!C83</f>
        <v>交通</v>
      </c>
      <c r="D42" t="str">
        <f>'附件3 规划内'!D83</f>
        <v>恢复重建道路14.055公里</v>
      </c>
      <c r="E42">
        <f>'附件3 规划内'!E83</f>
        <v>3460</v>
      </c>
      <c r="F42">
        <f>'附件3 规划内'!F83</f>
        <v>3460</v>
      </c>
      <c r="G42">
        <f>'附件3 规划内'!G83</f>
        <v>0</v>
      </c>
      <c r="H42">
        <f>'附件3 规划内'!H83</f>
        <v>0</v>
      </c>
      <c r="I42" t="str">
        <f>'附件3 规划内'!I83</f>
        <v>完工</v>
      </c>
      <c r="J42">
        <f>'附件3 规划内'!J83</f>
        <v>3460</v>
      </c>
      <c r="K42" t="str">
        <f>'附件3 规划内'!K83</f>
        <v/>
      </c>
      <c r="L42">
        <f>'附件3 规划内'!L83</f>
        <v>0</v>
      </c>
      <c r="M42" s="26">
        <f>'附件3 规划内'!M83</f>
        <v>44464</v>
      </c>
      <c r="N42" s="26">
        <f>'附件3 规划内'!N83</f>
        <v>44742</v>
      </c>
      <c r="O42" t="str">
        <f>'附件3 规划内'!O83</f>
        <v>市交通运输局</v>
      </c>
      <c r="P42" t="str">
        <f>'附件3 规划内'!P83</f>
        <v>市本级</v>
      </c>
      <c r="Q42">
        <f>'附件3 规划内'!Q83</f>
        <v>0</v>
      </c>
      <c r="R42" t="str">
        <f>'附件3 规划内'!R83</f>
        <v>2022年6月底 普通国省道</v>
      </c>
    </row>
    <row r="43" spans="1:18">
      <c r="A43">
        <f>'附件3 规划内'!A84</f>
        <v>83</v>
      </c>
      <c r="B43" t="str">
        <f>'附件3 规划内'!B84</f>
        <v>开封市内河水运灾后恢复重建项目</v>
      </c>
      <c r="C43" t="str">
        <f>'附件3 规划内'!C84</f>
        <v>交通</v>
      </c>
      <c r="D43" t="str">
        <f>'附件3 规划内'!D84</f>
        <v>码头泊位8个</v>
      </c>
      <c r="E43">
        <f>'附件3 规划内'!E84</f>
        <v>87</v>
      </c>
      <c r="F43">
        <f>'附件3 规划内'!F84</f>
        <v>87</v>
      </c>
      <c r="G43">
        <f>'附件3 规划内'!G84</f>
        <v>0</v>
      </c>
      <c r="H43">
        <f>'附件3 规划内'!H84</f>
        <v>0</v>
      </c>
      <c r="I43" t="str">
        <f>'附件3 规划内'!I84</f>
        <v>完工</v>
      </c>
      <c r="J43">
        <f>'附件3 规划内'!J84</f>
        <v>87</v>
      </c>
      <c r="K43" t="str">
        <f>'附件3 规划内'!K84</f>
        <v/>
      </c>
      <c r="L43">
        <f>'附件3 规划内'!L84</f>
        <v>0</v>
      </c>
      <c r="M43" s="26">
        <f>'附件3 规划内'!M84</f>
        <v>44470</v>
      </c>
      <c r="N43" s="26">
        <f>'附件3 规划内'!N84</f>
        <v>44561</v>
      </c>
      <c r="O43" t="str">
        <f>'附件3 规划内'!O84</f>
        <v>市交通运输局</v>
      </c>
      <c r="P43" t="str">
        <f>'附件3 规划内'!P84</f>
        <v>市本级</v>
      </c>
      <c r="Q43">
        <f>'附件3 规划内'!Q84</f>
        <v>0</v>
      </c>
      <c r="R43" t="str">
        <f>'附件3 规划内'!R84</f>
        <v>2021年已建成</v>
      </c>
    </row>
    <row r="44" spans="1:18">
      <c r="A44">
        <f>'附件3 规划内'!A85</f>
        <v>84</v>
      </c>
      <c r="B44" t="str">
        <f>'附件3 规划内'!B85</f>
        <v>开封中心客运站</v>
      </c>
      <c r="C44" t="str">
        <f>'附件3 规划内'!C85</f>
        <v>交通</v>
      </c>
      <c r="D44" t="str">
        <f>'附件3 规划内'!D85</f>
        <v>雨水导致墙体开裂，脱落，需对墙体粉刷面积3200平方米，屋顶防水修复面积约1580平方米，更换自动售票机3台，更换摄像头7个，维修更换三品检查仪和LED显示屏。</v>
      </c>
      <c r="E44">
        <f>'附件3 规划内'!E85</f>
        <v>55.93</v>
      </c>
      <c r="F44">
        <f>'附件3 规划内'!F85</f>
        <v>55.93</v>
      </c>
      <c r="G44">
        <f>'附件3 规划内'!G85</f>
        <v>0</v>
      </c>
      <c r="H44">
        <f>'附件3 规划内'!H85</f>
        <v>0</v>
      </c>
      <c r="I44" t="str">
        <f>'附件3 规划内'!I85</f>
        <v>完工</v>
      </c>
      <c r="J44">
        <f>'附件3 规划内'!J85</f>
        <v>55.93</v>
      </c>
      <c r="K44" t="str">
        <f>'附件3 规划内'!K85</f>
        <v/>
      </c>
      <c r="L44">
        <f>'附件3 规划内'!L85</f>
        <v>0</v>
      </c>
      <c r="M44" s="26">
        <f>'附件3 规划内'!M85</f>
        <v>44470</v>
      </c>
      <c r="N44" s="26">
        <f>'附件3 规划内'!N85</f>
        <v>44561</v>
      </c>
      <c r="O44" t="str">
        <f>'附件3 规划内'!O85</f>
        <v>市交通运输局</v>
      </c>
      <c r="P44" t="str">
        <f>'附件3 规划内'!P85</f>
        <v>市本级</v>
      </c>
      <c r="Q44">
        <f>'附件3 规划内'!Q85</f>
        <v>0</v>
      </c>
      <c r="R44" t="str">
        <f>'附件3 规划内'!R85</f>
        <v>2021年已建成</v>
      </c>
    </row>
    <row r="45" spans="1:18">
      <c r="A45">
        <f>'附件3 规划内'!A86</f>
        <v>85</v>
      </c>
      <c r="B45" t="str">
        <f>'附件3 规划内'!B86</f>
        <v>开封汽车西站</v>
      </c>
      <c r="C45" t="str">
        <f>'附件3 规划内'!C86</f>
        <v>交通</v>
      </c>
      <c r="D45" t="str">
        <f>'附件3 规划内'!D86</f>
        <v>雨水导致墙体开裂，脱落，需对墙体粉刷面积4000平方米，屋顶防水修复面积约1650平方米。</v>
      </c>
      <c r="E45">
        <f>'附件3 规划内'!E86</f>
        <v>23.57</v>
      </c>
      <c r="F45">
        <f>'附件3 规划内'!F86</f>
        <v>23.57</v>
      </c>
      <c r="G45">
        <f>'附件3 规划内'!G86</f>
        <v>0</v>
      </c>
      <c r="H45">
        <f>'附件3 规划内'!H86</f>
        <v>0</v>
      </c>
      <c r="I45" t="str">
        <f>'附件3 规划内'!I86</f>
        <v>完工</v>
      </c>
      <c r="J45">
        <f>'附件3 规划内'!J86</f>
        <v>23.57</v>
      </c>
      <c r="K45" t="str">
        <f>'附件3 规划内'!K86</f>
        <v/>
      </c>
      <c r="L45">
        <f>'附件3 规划内'!L86</f>
        <v>0</v>
      </c>
      <c r="M45" s="26">
        <f>'附件3 规划内'!M86</f>
        <v>44470</v>
      </c>
      <c r="N45" s="26">
        <f>'附件3 规划内'!N86</f>
        <v>44561</v>
      </c>
      <c r="O45" t="str">
        <f>'附件3 规划内'!O86</f>
        <v>市交通运输局</v>
      </c>
      <c r="P45" t="str">
        <f>'附件3 规划内'!P86</f>
        <v>市本级</v>
      </c>
      <c r="Q45">
        <f>'附件3 规划内'!Q86</f>
        <v>0</v>
      </c>
      <c r="R45" t="str">
        <f>'附件3 规划内'!R86</f>
        <v>2021年已建成</v>
      </c>
    </row>
    <row r="46" spans="1:18">
      <c r="A46">
        <f>'附件3 规划内'!A87</f>
        <v>86</v>
      </c>
      <c r="B46" t="str">
        <f>'附件3 规划内'!B87</f>
        <v>开封汽车东站</v>
      </c>
      <c r="C46" t="str">
        <f>'附件3 规划内'!C87</f>
        <v>交通</v>
      </c>
      <c r="D46" t="str">
        <f>'附件3 规划内'!D87</f>
        <v>房屋防水修复1537平米，室内吊顶修复300平方米，修复三品检查仪。</v>
      </c>
      <c r="E46">
        <f>'附件3 规划内'!E87</f>
        <v>23.48</v>
      </c>
      <c r="F46">
        <f>'附件3 规划内'!F87</f>
        <v>23.48</v>
      </c>
      <c r="G46">
        <f>'附件3 规划内'!G87</f>
        <v>0</v>
      </c>
      <c r="H46">
        <f>'附件3 规划内'!H87</f>
        <v>0</v>
      </c>
      <c r="I46" t="str">
        <f>'附件3 规划内'!I87</f>
        <v>完工</v>
      </c>
      <c r="J46">
        <f>'附件3 规划内'!J87</f>
        <v>23.48</v>
      </c>
      <c r="K46" t="str">
        <f>'附件3 规划内'!K87</f>
        <v/>
      </c>
      <c r="L46">
        <f>'附件3 规划内'!L87</f>
        <v>0</v>
      </c>
      <c r="M46" s="26">
        <f>'附件3 规划内'!M87</f>
        <v>44470</v>
      </c>
      <c r="N46" s="26">
        <f>'附件3 规划内'!N87</f>
        <v>44561</v>
      </c>
      <c r="O46" t="str">
        <f>'附件3 规划内'!O87</f>
        <v>市交通运输局</v>
      </c>
      <c r="P46" t="str">
        <f>'附件3 规划内'!P87</f>
        <v>市本级</v>
      </c>
      <c r="Q46">
        <f>'附件3 规划内'!Q87</f>
        <v>0</v>
      </c>
      <c r="R46" t="str">
        <f>'附件3 规划内'!R87</f>
        <v>2021年已建成</v>
      </c>
    </row>
    <row r="47" spans="1:18">
      <c r="A47">
        <f>'附件3 规划内'!A88</f>
        <v>87</v>
      </c>
      <c r="B47" t="str">
        <f>'附件3 规划内'!B88</f>
        <v>开封宋城路站</v>
      </c>
      <c r="C47" t="str">
        <f>'附件3 规划内'!C88</f>
        <v>交通</v>
      </c>
      <c r="D47" t="str">
        <f>'附件3 规划内'!D88</f>
        <v>雨水导致墙体开裂，脱落，需对墙体粉刷面积2200平方米，修复坍塌路面面积220平方米，室内吊顶200平方米，超高特殊防水休息面膜1900平米，修复坍塌围墙70余米，更换电缆600米。</v>
      </c>
      <c r="E47">
        <f>'附件3 规划内'!E88</f>
        <v>34.56</v>
      </c>
      <c r="F47">
        <f>'附件3 规划内'!F88</f>
        <v>34.56</v>
      </c>
      <c r="G47">
        <f>'附件3 规划内'!G88</f>
        <v>0</v>
      </c>
      <c r="H47">
        <f>'附件3 规划内'!H88</f>
        <v>0</v>
      </c>
      <c r="I47" t="str">
        <f>'附件3 规划内'!I88</f>
        <v>完工</v>
      </c>
      <c r="J47">
        <f>'附件3 规划内'!J88</f>
        <v>34.56</v>
      </c>
      <c r="K47" t="str">
        <f>'附件3 规划内'!K88</f>
        <v/>
      </c>
      <c r="L47">
        <f>'附件3 规划内'!L88</f>
        <v>0</v>
      </c>
      <c r="M47" s="26">
        <f>'附件3 规划内'!M88</f>
        <v>44470</v>
      </c>
      <c r="N47" s="26">
        <f>'附件3 规划内'!N88</f>
        <v>44561</v>
      </c>
      <c r="O47" t="str">
        <f>'附件3 规划内'!O88</f>
        <v>市交通运输局</v>
      </c>
      <c r="P47" t="str">
        <f>'附件3 规划内'!P88</f>
        <v>市本级</v>
      </c>
      <c r="Q47">
        <f>'附件3 规划内'!Q88</f>
        <v>0</v>
      </c>
      <c r="R47" t="str">
        <f>'附件3 规划内'!R88</f>
        <v>2021年已建成</v>
      </c>
    </row>
  </sheetData>
  <sheetProtection formatCells="0" formatColumns="0" formatRows="0" sort="0" autoFilter="0"/>
  <autoFilter ref="A6:AK47">
    <extLst/>
  </autoFilter>
  <mergeCells count="5">
    <mergeCell ref="A1:G1"/>
    <mergeCell ref="H1:N1"/>
    <mergeCell ref="O1:U1"/>
    <mergeCell ref="A5:R5"/>
    <mergeCell ref="T5:AK5"/>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6"/>
  <sheetViews>
    <sheetView zoomScale="90" zoomScaleNormal="90" workbookViewId="0">
      <pane ySplit="6" topLeftCell="A7" activePane="bottomLeft" state="frozen"/>
      <selection/>
      <selection pane="bottomLeft" activeCell="Q16" sqref="Q16"/>
    </sheetView>
  </sheetViews>
  <sheetFormatPr defaultColWidth="9" defaultRowHeight="13.5"/>
  <cols>
    <col min="7" max="7" width="9.63333333333333" customWidth="1"/>
    <col min="13" max="14" width="11.3666666666667" customWidth="1"/>
  </cols>
  <sheetData>
    <row r="1" ht="14.15" customHeight="1" spans="1:21">
      <c r="A1" s="2" t="s">
        <v>1247</v>
      </c>
      <c r="B1" s="3"/>
      <c r="C1" s="3"/>
      <c r="D1" s="3"/>
      <c r="E1" s="3"/>
      <c r="F1" s="3"/>
      <c r="G1" s="4"/>
      <c r="H1" s="5" t="s">
        <v>1248</v>
      </c>
      <c r="I1" s="5"/>
      <c r="J1" s="5"/>
      <c r="K1" s="5"/>
      <c r="L1" s="5"/>
      <c r="M1" s="5"/>
      <c r="N1" s="5"/>
      <c r="O1" s="16" t="s">
        <v>1249</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2</v>
      </c>
      <c r="C3" s="10">
        <f t="shared" ref="C3:F4" si="0">J3+Q3</f>
        <v>342.73</v>
      </c>
      <c r="D3" s="10">
        <f t="shared" si="0"/>
        <v>2</v>
      </c>
      <c r="E3" s="10">
        <f t="shared" si="0"/>
        <v>2</v>
      </c>
      <c r="F3" s="10">
        <f t="shared" si="0"/>
        <v>342.73</v>
      </c>
      <c r="G3" s="11">
        <f>IF(C3=0,"-",ROUND(F3/C3,3))</f>
        <v>1</v>
      </c>
      <c r="H3" s="8" t="s">
        <v>1146</v>
      </c>
      <c r="I3" s="17">
        <f>COUNT(E7:E122)-18</f>
        <v>2</v>
      </c>
      <c r="J3" s="21">
        <f>SUM(E7:E122)</f>
        <v>342.73</v>
      </c>
      <c r="K3" s="21">
        <f>COUNTIF(I7:I122,"在建")+COUNTIF(I7:I122,"完工")-18</f>
        <v>2</v>
      </c>
      <c r="L3" s="21">
        <f>COUNTIF(I7:I122,"完工")-18</f>
        <v>2</v>
      </c>
      <c r="M3" s="17">
        <f>SUM(J7:J122)</f>
        <v>342.73</v>
      </c>
      <c r="N3" s="22">
        <f>IF(J3=0,"-",ROUND(M3/J3,3))</f>
        <v>1</v>
      </c>
      <c r="O3" s="19" t="s">
        <v>1146</v>
      </c>
      <c r="P3" s="20">
        <f>COUNT(X7:X122)</f>
        <v>0</v>
      </c>
      <c r="Q3" s="24">
        <f>SUM(X7:X122)</f>
        <v>0</v>
      </c>
      <c r="R3" s="24">
        <f>COUNTIF(AB7:AB122,"在建")+COUNTIF(AB7:AB122,"完工")</f>
        <v>0</v>
      </c>
      <c r="S3" s="24">
        <f>COUNTIF(AB7:AB122,"完工")</f>
        <v>0</v>
      </c>
      <c r="T3" s="20">
        <f>SUM(AC7:AC122)</f>
        <v>0</v>
      </c>
      <c r="U3" s="25" t="str">
        <f>IF(Q3=0,"-",ROUND(T3/Q3,3))</f>
        <v>-</v>
      </c>
    </row>
    <row r="4" s="1" customFormat="1" ht="27" spans="1:21">
      <c r="A4" s="9" t="s">
        <v>1147</v>
      </c>
      <c r="B4" s="10">
        <f>I4+P4</f>
        <v>0</v>
      </c>
      <c r="C4" s="10">
        <f t="shared" si="0"/>
        <v>0</v>
      </c>
      <c r="D4" s="10">
        <f t="shared" si="0"/>
        <v>0</v>
      </c>
      <c r="E4" s="10">
        <f t="shared" si="0"/>
        <v>0</v>
      </c>
      <c r="F4" s="10">
        <f t="shared" si="0"/>
        <v>0</v>
      </c>
      <c r="G4" s="12" t="str">
        <f>IF(C4=0,"-",ROUND(F4/C4,3))</f>
        <v>-</v>
      </c>
      <c r="H4" s="8" t="s">
        <v>1148</v>
      </c>
      <c r="I4" s="17">
        <f>COUNTIF(G7:G122,"&gt;0")</f>
        <v>0</v>
      </c>
      <c r="J4" s="21">
        <f>SUM(G7:G122)</f>
        <v>0</v>
      </c>
      <c r="K4" s="21">
        <f>COUNTIFS(G7:G122,"&gt;0",I7:I122,"完工")+COUNTIFS(G7:G122,"&gt;0",I7:I122,"在建")</f>
        <v>0</v>
      </c>
      <c r="L4" s="21">
        <f>COUNTIFS(G7:G122,"&gt;0",I7:I122,"完工")</f>
        <v>0</v>
      </c>
      <c r="M4" s="17">
        <f>SUM(K7:K122)</f>
        <v>0</v>
      </c>
      <c r="N4" s="22" t="str">
        <f>IF(J4=0,"-",ROUND(M4/J4,3))</f>
        <v>-</v>
      </c>
      <c r="O4" s="19" t="s">
        <v>1148</v>
      </c>
      <c r="P4" s="20">
        <f>COUNTIF(Z7:Z122,"&gt;0")</f>
        <v>0</v>
      </c>
      <c r="Q4" s="24">
        <f>SUM(Z7:Z122)</f>
        <v>0</v>
      </c>
      <c r="R4" s="24">
        <f>COUNTIFS(Z7:Z122,"&gt;0",AB7:AB122,"完工")+COUNTIFS(Z7:Z122,"&gt;0",AB7:AB122,"在建")</f>
        <v>0</v>
      </c>
      <c r="S4" s="24">
        <f>COUNTIFS(Z7:Z122,"&gt;0",AB7:AB122,"完工")</f>
        <v>0</v>
      </c>
      <c r="T4" s="20">
        <f>SUM(AD7:AD122)</f>
        <v>0</v>
      </c>
      <c r="U4" s="25" t="str">
        <f>IF(Q4=0,"-",ROUND(T4/Q4,3))</f>
        <v>-</v>
      </c>
    </row>
    <row r="5" s="1" customFormat="1" spans="1:37">
      <c r="A5" s="13" t="s">
        <v>1250</v>
      </c>
      <c r="B5" s="14"/>
      <c r="C5" s="14"/>
      <c r="D5" s="14"/>
      <c r="E5" s="14"/>
      <c r="F5" s="14"/>
      <c r="G5" s="14"/>
      <c r="H5" s="14"/>
      <c r="I5" s="14"/>
      <c r="J5" s="14"/>
      <c r="K5" s="14"/>
      <c r="L5" s="14"/>
      <c r="M5" s="14"/>
      <c r="N5" s="14"/>
      <c r="O5" s="14"/>
      <c r="P5" s="14"/>
      <c r="Q5" s="14"/>
      <c r="R5" s="14"/>
      <c r="T5" s="13" t="s">
        <v>1251</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18">
      <c r="A7">
        <f>'附件3 规划内'!A198</f>
        <v>197</v>
      </c>
      <c r="B7" t="str">
        <f>'附件3 规划内'!B198</f>
        <v>尉氏县蔡庄镇罗庄小学</v>
      </c>
      <c r="C7" t="str">
        <f>'附件3 规划内'!C198</f>
        <v>教育</v>
      </c>
      <c r="D7" t="str">
        <f>'附件3 规划内'!D198</f>
        <v>计划投入资金2万元，维修加固厕所100平方米。</v>
      </c>
      <c r="E7">
        <f>'附件3 规划内'!E198</f>
        <v>1.48</v>
      </c>
      <c r="F7">
        <f>'附件3 规划内'!F198</f>
        <v>1.48</v>
      </c>
      <c r="G7">
        <f>'附件3 规划内'!G198</f>
        <v>0</v>
      </c>
      <c r="H7">
        <f>'附件3 规划内'!H198</f>
        <v>0</v>
      </c>
      <c r="I7" t="str">
        <f>'附件3 规划内'!I198</f>
        <v>完工</v>
      </c>
      <c r="J7">
        <f>'附件3 规划内'!J198</f>
        <v>1.48</v>
      </c>
      <c r="K7" t="str">
        <f>'附件3 规划内'!K198</f>
        <v/>
      </c>
      <c r="L7">
        <f>'附件3 规划内'!L198</f>
        <v>0</v>
      </c>
      <c r="M7" s="26">
        <f>'附件3 规划内'!M198</f>
        <v>44409</v>
      </c>
      <c r="N7" s="26">
        <f>'附件3 规划内'!N198</f>
        <v>44469</v>
      </c>
      <c r="O7" t="str">
        <f>'附件3 规划内'!O198</f>
        <v>市教体局</v>
      </c>
      <c r="P7" t="str">
        <f>'附件3 规划内'!P198</f>
        <v>尉氏县</v>
      </c>
      <c r="Q7">
        <f>'附件3 规划内'!Q198</f>
        <v>0</v>
      </c>
      <c r="R7">
        <f>'附件3 规划内'!R198</f>
        <v>0</v>
      </c>
    </row>
    <row r="8" spans="1:18">
      <c r="A8">
        <f>'附件3 规划内'!A199</f>
        <v>197</v>
      </c>
      <c r="B8" t="str">
        <f>'附件3 规划内'!B199</f>
        <v>尉氏县蔡庄镇中心小学</v>
      </c>
      <c r="C8" t="str">
        <f>'附件3 规划内'!C199</f>
        <v>教育</v>
      </c>
      <c r="D8" t="str">
        <f>'附件3 规划内'!D199</f>
        <v>计划投入资金2.4万元，维修加固厕所120平方米。</v>
      </c>
      <c r="E8">
        <f>'附件3 规划内'!E199</f>
        <v>9.6</v>
      </c>
      <c r="F8">
        <f>'附件3 规划内'!F199</f>
        <v>9.6</v>
      </c>
      <c r="G8">
        <f>'附件3 规划内'!G199</f>
        <v>0</v>
      </c>
      <c r="H8">
        <f>'附件3 规划内'!H199</f>
        <v>0</v>
      </c>
      <c r="I8" t="str">
        <f>'附件3 规划内'!I199</f>
        <v>完工</v>
      </c>
      <c r="J8">
        <f>'附件3 规划内'!J199</f>
        <v>9.6</v>
      </c>
      <c r="K8" t="str">
        <f>'附件3 规划内'!K199</f>
        <v/>
      </c>
      <c r="L8">
        <f>'附件3 规划内'!L199</f>
        <v>0</v>
      </c>
      <c r="M8" s="26">
        <f>'附件3 规划内'!M199</f>
        <v>44409</v>
      </c>
      <c r="N8" s="26">
        <f>'附件3 规划内'!N199</f>
        <v>44469</v>
      </c>
      <c r="O8" t="str">
        <f>'附件3 规划内'!O199</f>
        <v>市教体局</v>
      </c>
      <c r="P8" t="str">
        <f>'附件3 规划内'!P199</f>
        <v>尉氏县</v>
      </c>
      <c r="Q8">
        <f>'附件3 规划内'!Q199</f>
        <v>0</v>
      </c>
      <c r="R8">
        <f>'附件3 规划内'!R199</f>
        <v>0</v>
      </c>
    </row>
    <row r="9" spans="1:18">
      <c r="A9">
        <f>'附件3 规划内'!A200</f>
        <v>197</v>
      </c>
      <c r="B9" t="str">
        <f>'附件3 规划内'!B200</f>
        <v>尉氏县大马乡马古岗小学</v>
      </c>
      <c r="C9" t="str">
        <f>'附件3 规划内'!C200</f>
        <v>教育</v>
      </c>
      <c r="D9" t="str">
        <f>'附件3 规划内'!D200</f>
        <v>计划投入资金0.26万元，维修加固门卫室40平方米。</v>
      </c>
      <c r="E9">
        <f>'附件3 规划内'!E200</f>
        <v>0.34</v>
      </c>
      <c r="F9">
        <f>'附件3 规划内'!F200</f>
        <v>0.34</v>
      </c>
      <c r="G9">
        <f>'附件3 规划内'!G200</f>
        <v>0</v>
      </c>
      <c r="H9">
        <f>'附件3 规划内'!H200</f>
        <v>0</v>
      </c>
      <c r="I9" t="str">
        <f>'附件3 规划内'!I200</f>
        <v>完工</v>
      </c>
      <c r="J9">
        <f>'附件3 规划内'!J200</f>
        <v>0.34</v>
      </c>
      <c r="K9" t="str">
        <f>'附件3 规划内'!K200</f>
        <v/>
      </c>
      <c r="L9">
        <f>'附件3 规划内'!L200</f>
        <v>0</v>
      </c>
      <c r="M9" s="26">
        <f>'附件3 规划内'!M200</f>
        <v>44409</v>
      </c>
      <c r="N9" s="26">
        <f>'附件3 规划内'!N200</f>
        <v>44469</v>
      </c>
      <c r="O9" t="str">
        <f>'附件3 规划内'!O200</f>
        <v>市教体局</v>
      </c>
      <c r="P9" t="str">
        <f>'附件3 规划内'!P200</f>
        <v>尉氏县</v>
      </c>
      <c r="Q9">
        <f>'附件3 规划内'!Q200</f>
        <v>0</v>
      </c>
      <c r="R9">
        <f>'附件3 规划内'!R200</f>
        <v>0</v>
      </c>
    </row>
    <row r="10" spans="1:18">
      <c r="A10">
        <f>'附件3 规划内'!A201</f>
        <v>197</v>
      </c>
      <c r="B10" t="str">
        <f>'附件3 规划内'!B201</f>
        <v>尉氏县大马乡任泽小学</v>
      </c>
      <c r="C10" t="str">
        <f>'附件3 规划内'!C201</f>
        <v>教育</v>
      </c>
      <c r="D10" t="str">
        <f>'附件3 规划内'!D201</f>
        <v>计划投入资金0.3万元，维修加固办公室及器材室72平方米。</v>
      </c>
      <c r="E10">
        <f>'附件3 规划内'!E201</f>
        <v>0.15</v>
      </c>
      <c r="F10">
        <f>'附件3 规划内'!F201</f>
        <v>0.15</v>
      </c>
      <c r="G10">
        <f>'附件3 规划内'!G201</f>
        <v>0</v>
      </c>
      <c r="H10">
        <f>'附件3 规划内'!H201</f>
        <v>0</v>
      </c>
      <c r="I10" t="str">
        <f>'附件3 规划内'!I201</f>
        <v>完工</v>
      </c>
      <c r="J10">
        <f>'附件3 规划内'!J201</f>
        <v>0.15</v>
      </c>
      <c r="K10" t="str">
        <f>'附件3 规划内'!K201</f>
        <v/>
      </c>
      <c r="L10">
        <f>'附件3 规划内'!L201</f>
        <v>0</v>
      </c>
      <c r="M10" s="26">
        <f>'附件3 规划内'!M201</f>
        <v>44409</v>
      </c>
      <c r="N10" s="26">
        <f>'附件3 规划内'!N201</f>
        <v>44469</v>
      </c>
      <c r="O10" t="str">
        <f>'附件3 规划内'!O201</f>
        <v>市教体局</v>
      </c>
      <c r="P10" t="str">
        <f>'附件3 规划内'!P201</f>
        <v>尉氏县</v>
      </c>
      <c r="Q10">
        <f>'附件3 规划内'!Q201</f>
        <v>0</v>
      </c>
      <c r="R10">
        <f>'附件3 规划内'!R201</f>
        <v>0</v>
      </c>
    </row>
    <row r="11" spans="1:18">
      <c r="A11">
        <f>'附件3 规划内'!A202</f>
        <v>197</v>
      </c>
      <c r="B11" t="str">
        <f>'附件3 规划内'!B202</f>
        <v>尉氏县岗李乡段庄小学</v>
      </c>
      <c r="C11" t="str">
        <f>'附件3 规划内'!C202</f>
        <v>教育</v>
      </c>
      <c r="D11" t="str">
        <f>'附件3 规划内'!D202</f>
        <v>计划投入资金1.2万元，维修加固大门30平方米。</v>
      </c>
      <c r="E11">
        <f>'附件3 规划内'!E202</f>
        <v>0</v>
      </c>
      <c r="F11">
        <f>'附件3 规划内'!F202</f>
        <v>0</v>
      </c>
      <c r="G11">
        <f>'附件3 规划内'!G202</f>
        <v>0</v>
      </c>
      <c r="H11">
        <f>'附件3 规划内'!H202</f>
        <v>0</v>
      </c>
      <c r="I11" t="str">
        <f>'附件3 规划内'!I202</f>
        <v>完工</v>
      </c>
      <c r="J11">
        <f>'附件3 规划内'!J202</f>
        <v>0</v>
      </c>
      <c r="K11" t="str">
        <f>'附件3 规划内'!K202</f>
        <v/>
      </c>
      <c r="L11">
        <f>'附件3 规划内'!L202</f>
        <v>0</v>
      </c>
      <c r="M11" s="26">
        <f>'附件3 规划内'!M202</f>
        <v>44409</v>
      </c>
      <c r="N11" s="26">
        <f>'附件3 规划内'!N202</f>
        <v>44469</v>
      </c>
      <c r="O11" t="str">
        <f>'附件3 规划内'!O202</f>
        <v>市教体局</v>
      </c>
      <c r="P11" t="str">
        <f>'附件3 规划内'!P202</f>
        <v>尉氏县</v>
      </c>
      <c r="Q11">
        <f>'附件3 规划内'!Q202</f>
        <v>0</v>
      </c>
      <c r="R11">
        <f>'附件3 规划内'!R202</f>
        <v>0</v>
      </c>
    </row>
    <row r="12" spans="1:18">
      <c r="A12">
        <f>'附件3 规划内'!A203</f>
        <v>197</v>
      </c>
      <c r="B12" t="str">
        <f>'附件3 规划内'!B203</f>
        <v>尉氏县岗李乡肖庄小学</v>
      </c>
      <c r="C12" t="str">
        <f>'附件3 规划内'!C203</f>
        <v>教育</v>
      </c>
      <c r="D12" t="str">
        <f>'附件3 规划内'!D203</f>
        <v>计划投入资金8万元，维修加固教室200平方米。</v>
      </c>
      <c r="E12">
        <f>'附件3 规划内'!E203</f>
        <v>150.6</v>
      </c>
      <c r="F12">
        <f>'附件3 规划内'!F203</f>
        <v>150.6</v>
      </c>
      <c r="G12">
        <f>'附件3 规划内'!G203</f>
        <v>0</v>
      </c>
      <c r="H12">
        <f>'附件3 规划内'!H203</f>
        <v>0</v>
      </c>
      <c r="I12" t="str">
        <f>'附件3 规划内'!I203</f>
        <v>完工</v>
      </c>
      <c r="J12">
        <f>'附件3 规划内'!J203</f>
        <v>150.6</v>
      </c>
      <c r="K12" t="str">
        <f>'附件3 规划内'!K203</f>
        <v/>
      </c>
      <c r="L12">
        <f>'附件3 规划内'!L203</f>
        <v>0</v>
      </c>
      <c r="M12" s="26">
        <f>'附件3 规划内'!M203</f>
        <v>44409</v>
      </c>
      <c r="N12" s="26">
        <f>'附件3 规划内'!N203</f>
        <v>44469</v>
      </c>
      <c r="O12" t="str">
        <f>'附件3 规划内'!O203</f>
        <v>市教体局</v>
      </c>
      <c r="P12" t="str">
        <f>'附件3 规划内'!P203</f>
        <v>尉氏县</v>
      </c>
      <c r="Q12">
        <f>'附件3 规划内'!Q203</f>
        <v>0</v>
      </c>
      <c r="R12">
        <f>'附件3 规划内'!R203</f>
        <v>0</v>
      </c>
    </row>
    <row r="13" spans="1:18">
      <c r="A13">
        <f>'附件3 规划内'!A204</f>
        <v>197</v>
      </c>
      <c r="B13" t="str">
        <f>'附件3 规划内'!B204</f>
        <v>尉氏县南曹乡代庄小学</v>
      </c>
      <c r="C13" t="str">
        <f>'附件3 规划内'!C204</f>
        <v>教育</v>
      </c>
      <c r="D13" t="str">
        <f>'附件3 规划内'!D204</f>
        <v>计划投入资金3.16万元，维修加固校园厕所80平方米。</v>
      </c>
      <c r="E13">
        <f>'附件3 规划内'!E204</f>
        <v>4</v>
      </c>
      <c r="F13">
        <f>'附件3 规划内'!F204</f>
        <v>4</v>
      </c>
      <c r="G13">
        <f>'附件3 规划内'!G204</f>
        <v>0</v>
      </c>
      <c r="H13">
        <f>'附件3 规划内'!H204</f>
        <v>0</v>
      </c>
      <c r="I13" t="str">
        <f>'附件3 规划内'!I204</f>
        <v>完工</v>
      </c>
      <c r="J13">
        <f>'附件3 规划内'!J204</f>
        <v>4</v>
      </c>
      <c r="K13" t="str">
        <f>'附件3 规划内'!K204</f>
        <v/>
      </c>
      <c r="L13">
        <f>'附件3 规划内'!L204</f>
        <v>0</v>
      </c>
      <c r="M13" s="26">
        <f>'附件3 规划内'!M204</f>
        <v>44409</v>
      </c>
      <c r="N13" s="26">
        <f>'附件3 规划内'!N204</f>
        <v>44469</v>
      </c>
      <c r="O13" t="str">
        <f>'附件3 规划内'!O204</f>
        <v>市教体局</v>
      </c>
      <c r="P13" t="str">
        <f>'附件3 规划内'!P204</f>
        <v>尉氏县</v>
      </c>
      <c r="Q13">
        <f>'附件3 规划内'!Q204</f>
        <v>0</v>
      </c>
      <c r="R13">
        <f>'附件3 规划内'!R204</f>
        <v>0</v>
      </c>
    </row>
    <row r="14" spans="1:18">
      <c r="A14">
        <f>'附件3 规划内'!A205</f>
        <v>197</v>
      </c>
      <c r="B14" t="str">
        <f>'附件3 规划内'!B205</f>
        <v>尉氏县水坡镇老李小学</v>
      </c>
      <c r="C14" t="str">
        <f>'附件3 规划内'!C205</f>
        <v>教育</v>
      </c>
      <c r="D14" t="str">
        <f>'附件3 规划内'!D205</f>
        <v>计划投入资金11万元，维修加固教室252平方米。</v>
      </c>
      <c r="E14">
        <f>'附件3 规划内'!E205</f>
        <v>0.47</v>
      </c>
      <c r="F14">
        <f>'附件3 规划内'!F205</f>
        <v>0.47</v>
      </c>
      <c r="G14">
        <f>'附件3 规划内'!G205</f>
        <v>0</v>
      </c>
      <c r="H14">
        <f>'附件3 规划内'!H205</f>
        <v>0</v>
      </c>
      <c r="I14" t="str">
        <f>'附件3 规划内'!I205</f>
        <v>完工</v>
      </c>
      <c r="J14">
        <f>'附件3 规划内'!J205</f>
        <v>0.47</v>
      </c>
      <c r="K14" t="str">
        <f>'附件3 规划内'!K205</f>
        <v/>
      </c>
      <c r="L14">
        <f>'附件3 规划内'!L205</f>
        <v>0</v>
      </c>
      <c r="M14" s="26">
        <f>'附件3 规划内'!M205</f>
        <v>44409</v>
      </c>
      <c r="N14" s="26">
        <f>'附件3 规划内'!N205</f>
        <v>44469</v>
      </c>
      <c r="O14" t="str">
        <f>'附件3 规划内'!O205</f>
        <v>市教体局</v>
      </c>
      <c r="P14" t="str">
        <f>'附件3 规划内'!P205</f>
        <v>尉氏县</v>
      </c>
      <c r="Q14">
        <f>'附件3 规划内'!Q205</f>
        <v>0</v>
      </c>
      <c r="R14">
        <f>'附件3 规划内'!R205</f>
        <v>0</v>
      </c>
    </row>
    <row r="15" spans="1:18">
      <c r="A15">
        <f>'附件3 规划内'!A206</f>
        <v>197</v>
      </c>
      <c r="B15" t="str">
        <f>'附件3 规划内'!B206</f>
        <v>尉氏县水坡镇牛集小学</v>
      </c>
      <c r="C15" t="str">
        <f>'附件3 规划内'!C206</f>
        <v>教育</v>
      </c>
      <c r="D15" t="str">
        <f>'附件3 规划内'!D206</f>
        <v>计划投入资金5.5万元，维修加固综合用房150平方米。</v>
      </c>
      <c r="E15">
        <f>'附件3 规划内'!E206</f>
        <v>1.13</v>
      </c>
      <c r="F15">
        <f>'附件3 规划内'!F206</f>
        <v>1.13</v>
      </c>
      <c r="G15">
        <f>'附件3 规划内'!G206</f>
        <v>0</v>
      </c>
      <c r="H15">
        <f>'附件3 规划内'!H206</f>
        <v>0</v>
      </c>
      <c r="I15" t="str">
        <f>'附件3 规划内'!I206</f>
        <v>完工</v>
      </c>
      <c r="J15">
        <f>'附件3 规划内'!J206</f>
        <v>1.13</v>
      </c>
      <c r="K15" t="str">
        <f>'附件3 规划内'!K206</f>
        <v/>
      </c>
      <c r="L15">
        <f>'附件3 规划内'!L206</f>
        <v>0</v>
      </c>
      <c r="M15" s="26">
        <f>'附件3 规划内'!M206</f>
        <v>44409</v>
      </c>
      <c r="N15" s="26">
        <f>'附件3 规划内'!N206</f>
        <v>44469</v>
      </c>
      <c r="O15" t="str">
        <f>'附件3 规划内'!O206</f>
        <v>市教体局</v>
      </c>
      <c r="P15" t="str">
        <f>'附件3 规划内'!P206</f>
        <v>尉氏县</v>
      </c>
      <c r="Q15">
        <f>'附件3 规划内'!Q206</f>
        <v>0</v>
      </c>
      <c r="R15">
        <f>'附件3 规划内'!R206</f>
        <v>0</v>
      </c>
    </row>
    <row r="16" spans="1:18">
      <c r="A16">
        <f>'附件3 规划内'!A207</f>
        <v>197</v>
      </c>
      <c r="B16" t="str">
        <f>'附件3 规划内'!B207</f>
        <v>尉氏县水坡镇瓦岗小学</v>
      </c>
      <c r="C16" t="str">
        <f>'附件3 规划内'!C207</f>
        <v>教育</v>
      </c>
      <c r="D16" t="str">
        <f>'附件3 规划内'!D207</f>
        <v>计划投入资金3万元，维修加固功能室90平方米。</v>
      </c>
      <c r="E16">
        <f>'附件3 规划内'!E207</f>
        <v>0.45</v>
      </c>
      <c r="F16">
        <f>'附件3 规划内'!F207</f>
        <v>0.45</v>
      </c>
      <c r="G16">
        <f>'附件3 规划内'!G207</f>
        <v>0</v>
      </c>
      <c r="H16">
        <f>'附件3 规划内'!H207</f>
        <v>0</v>
      </c>
      <c r="I16" t="str">
        <f>'附件3 规划内'!I207</f>
        <v>完工</v>
      </c>
      <c r="J16">
        <f>'附件3 规划内'!J207</f>
        <v>0.45</v>
      </c>
      <c r="K16" t="str">
        <f>'附件3 规划内'!K207</f>
        <v/>
      </c>
      <c r="L16">
        <f>'附件3 规划内'!L207</f>
        <v>0</v>
      </c>
      <c r="M16" s="26">
        <f>'附件3 规划内'!M207</f>
        <v>44409</v>
      </c>
      <c r="N16" s="26">
        <f>'附件3 规划内'!N207</f>
        <v>44469</v>
      </c>
      <c r="O16" t="str">
        <f>'附件3 规划内'!O207</f>
        <v>市教体局</v>
      </c>
      <c r="P16" t="str">
        <f>'附件3 规划内'!P207</f>
        <v>尉氏县</v>
      </c>
      <c r="Q16">
        <f>'附件3 规划内'!Q207</f>
        <v>0</v>
      </c>
      <c r="R16">
        <f>'附件3 规划内'!R207</f>
        <v>0</v>
      </c>
    </row>
    <row r="17" spans="1:18">
      <c r="A17">
        <f>'附件3 规划内'!A208</f>
        <v>197</v>
      </c>
      <c r="B17" t="str">
        <f>'附件3 规划内'!B208</f>
        <v>尉氏县邢庄乡丁庄小学</v>
      </c>
      <c r="C17" t="str">
        <f>'附件3 规划内'!C208</f>
        <v>教育</v>
      </c>
      <c r="D17" t="str">
        <f>'附件3 规划内'!D208</f>
        <v>计划投入资金6万元，维修加固北教学楼（西）180平方米。</v>
      </c>
      <c r="E17">
        <f>'附件3 规划内'!E208</f>
        <v>1.2</v>
      </c>
      <c r="F17">
        <f>'附件3 规划内'!F208</f>
        <v>1.2</v>
      </c>
      <c r="G17">
        <f>'附件3 规划内'!G208</f>
        <v>0</v>
      </c>
      <c r="H17">
        <f>'附件3 规划内'!H208</f>
        <v>0</v>
      </c>
      <c r="I17" t="str">
        <f>'附件3 规划内'!I208</f>
        <v>完工</v>
      </c>
      <c r="J17">
        <f>'附件3 规划内'!J208</f>
        <v>1.2</v>
      </c>
      <c r="K17" t="str">
        <f>'附件3 规划内'!K208</f>
        <v/>
      </c>
      <c r="L17">
        <f>'附件3 规划内'!L208</f>
        <v>0</v>
      </c>
      <c r="M17" s="26">
        <f>'附件3 规划内'!M208</f>
        <v>44409</v>
      </c>
      <c r="N17" s="26">
        <f>'附件3 规划内'!N208</f>
        <v>44469</v>
      </c>
      <c r="O17" t="str">
        <f>'附件3 规划内'!O208</f>
        <v>市教体局</v>
      </c>
      <c r="P17" t="str">
        <f>'附件3 规划内'!P208</f>
        <v>尉氏县</v>
      </c>
      <c r="Q17">
        <f>'附件3 规划内'!Q208</f>
        <v>0</v>
      </c>
      <c r="R17">
        <f>'附件3 规划内'!R208</f>
        <v>0</v>
      </c>
    </row>
    <row r="18" spans="1:18">
      <c r="A18">
        <f>'附件3 规划内'!A209</f>
        <v>197</v>
      </c>
      <c r="B18" t="str">
        <f>'附件3 规划内'!B209</f>
        <v>尉氏县永兴镇黄岗小学</v>
      </c>
      <c r="C18" t="str">
        <f>'附件3 规划内'!C209</f>
        <v>教育</v>
      </c>
      <c r="D18" t="str">
        <f>'附件3 规划内'!D209</f>
        <v>计划投入资金2万元，维修加固储藏50平方米。</v>
      </c>
      <c r="E18">
        <f>'附件3 规划内'!E209</f>
        <v>0.6</v>
      </c>
      <c r="F18">
        <f>'附件3 规划内'!F209</f>
        <v>0.6</v>
      </c>
      <c r="G18">
        <f>'附件3 规划内'!G209</f>
        <v>0</v>
      </c>
      <c r="H18">
        <f>'附件3 规划内'!H209</f>
        <v>0</v>
      </c>
      <c r="I18" t="str">
        <f>'附件3 规划内'!I209</f>
        <v>完工</v>
      </c>
      <c r="J18">
        <f>'附件3 规划内'!J209</f>
        <v>0.6</v>
      </c>
      <c r="K18" t="str">
        <f>'附件3 规划内'!K209</f>
        <v/>
      </c>
      <c r="L18">
        <f>'附件3 规划内'!L209</f>
        <v>0</v>
      </c>
      <c r="M18" s="26">
        <f>'附件3 规划内'!M209</f>
        <v>44409</v>
      </c>
      <c r="N18" s="26">
        <f>'附件3 规划内'!N209</f>
        <v>44469</v>
      </c>
      <c r="O18" t="str">
        <f>'附件3 规划内'!O209</f>
        <v>市教体局</v>
      </c>
      <c r="P18" t="str">
        <f>'附件3 规划内'!P209</f>
        <v>尉氏县</v>
      </c>
      <c r="Q18">
        <f>'附件3 规划内'!Q209</f>
        <v>0</v>
      </c>
      <c r="R18">
        <f>'附件3 规划内'!R209</f>
        <v>0</v>
      </c>
    </row>
    <row r="19" spans="1:18">
      <c r="A19">
        <f>'附件3 规划内'!A210</f>
        <v>197</v>
      </c>
      <c r="B19" t="str">
        <f>'附件3 规划内'!B210</f>
        <v>尉氏县永兴镇三柳小学</v>
      </c>
      <c r="C19" t="str">
        <f>'附件3 规划内'!C210</f>
        <v>教育</v>
      </c>
      <c r="D19" t="str">
        <f>'附件3 规划内'!D210</f>
        <v>计划投入资金2万元，维修加固功能室180平方米。</v>
      </c>
      <c r="E19">
        <f>'附件3 规划内'!E210</f>
        <v>1.1</v>
      </c>
      <c r="F19">
        <f>'附件3 规划内'!F210</f>
        <v>1.1</v>
      </c>
      <c r="G19">
        <f>'附件3 规划内'!G210</f>
        <v>0</v>
      </c>
      <c r="H19">
        <f>'附件3 规划内'!H210</f>
        <v>0</v>
      </c>
      <c r="I19" t="str">
        <f>'附件3 规划内'!I210</f>
        <v>完工</v>
      </c>
      <c r="J19">
        <f>'附件3 规划内'!J210</f>
        <v>1.1</v>
      </c>
      <c r="K19" t="str">
        <f>'附件3 规划内'!K210</f>
        <v/>
      </c>
      <c r="L19">
        <f>'附件3 规划内'!L210</f>
        <v>0</v>
      </c>
      <c r="M19" s="26">
        <f>'附件3 规划内'!M210</f>
        <v>44409</v>
      </c>
      <c r="N19" s="26">
        <f>'附件3 规划内'!N210</f>
        <v>44469</v>
      </c>
      <c r="O19" t="str">
        <f>'附件3 规划内'!O210</f>
        <v>市教体局</v>
      </c>
      <c r="P19" t="str">
        <f>'附件3 规划内'!P210</f>
        <v>尉氏县</v>
      </c>
      <c r="Q19">
        <f>'附件3 规划内'!Q210</f>
        <v>0</v>
      </c>
      <c r="R19">
        <f>'附件3 规划内'!R210</f>
        <v>0</v>
      </c>
    </row>
    <row r="20" spans="1:18">
      <c r="A20">
        <f>'附件3 规划内'!A211</f>
        <v>197</v>
      </c>
      <c r="B20" t="str">
        <f>'附件3 规划内'!B211</f>
        <v>尉氏县庄头镇第二初级中学</v>
      </c>
      <c r="C20" t="str">
        <f>'附件3 规划内'!C211</f>
        <v>教育</v>
      </c>
      <c r="D20" t="str">
        <f>'附件3 规划内'!D211</f>
        <v>计划投入资金0.8万元，维修加固门卫室50平方米。</v>
      </c>
      <c r="E20">
        <f>'附件3 规划内'!E211</f>
        <v>8.66</v>
      </c>
      <c r="F20">
        <f>'附件3 规划内'!F211</f>
        <v>8.66</v>
      </c>
      <c r="G20">
        <f>'附件3 规划内'!G211</f>
        <v>0</v>
      </c>
      <c r="H20">
        <f>'附件3 规划内'!H211</f>
        <v>0</v>
      </c>
      <c r="I20" t="str">
        <f>'附件3 规划内'!I211</f>
        <v>完工</v>
      </c>
      <c r="J20">
        <f>'附件3 规划内'!J211</f>
        <v>8.66</v>
      </c>
      <c r="K20" t="str">
        <f>'附件3 规划内'!K211</f>
        <v/>
      </c>
      <c r="L20">
        <f>'附件3 规划内'!L211</f>
        <v>0</v>
      </c>
      <c r="M20" s="26">
        <f>'附件3 规划内'!M211</f>
        <v>44409</v>
      </c>
      <c r="N20" s="26">
        <f>'附件3 规划内'!N211</f>
        <v>44469</v>
      </c>
      <c r="O20" t="str">
        <f>'附件3 规划内'!O211</f>
        <v>市教体局</v>
      </c>
      <c r="P20" t="str">
        <f>'附件3 规划内'!P211</f>
        <v>尉氏县</v>
      </c>
      <c r="Q20">
        <f>'附件3 规划内'!Q211</f>
        <v>0</v>
      </c>
      <c r="R20">
        <f>'附件3 规划内'!R211</f>
        <v>0</v>
      </c>
    </row>
    <row r="21" spans="1:18">
      <c r="A21">
        <f>'附件3 规划内'!A212</f>
        <v>197</v>
      </c>
      <c r="B21" t="str">
        <f>'附件3 规划内'!B212</f>
        <v>尉氏县庄头镇小营小学</v>
      </c>
      <c r="C21" t="str">
        <f>'附件3 规划内'!C212</f>
        <v>教育</v>
      </c>
      <c r="D21" t="str">
        <f>'附件3 规划内'!D212</f>
        <v>计划投入资金12万元，维修加固厕所240平方米。</v>
      </c>
      <c r="E21">
        <f>'附件3 规划内'!E212</f>
        <v>2</v>
      </c>
      <c r="F21">
        <f>'附件3 规划内'!F212</f>
        <v>2</v>
      </c>
      <c r="G21">
        <f>'附件3 规划内'!G212</f>
        <v>0</v>
      </c>
      <c r="H21">
        <f>'附件3 规划内'!H212</f>
        <v>0</v>
      </c>
      <c r="I21" t="str">
        <f>'附件3 规划内'!I212</f>
        <v>完工</v>
      </c>
      <c r="J21">
        <f>'附件3 规划内'!J212</f>
        <v>2</v>
      </c>
      <c r="K21" t="str">
        <f>'附件3 规划内'!K212</f>
        <v/>
      </c>
      <c r="L21">
        <f>'附件3 规划内'!L212</f>
        <v>0</v>
      </c>
      <c r="M21" s="26">
        <f>'附件3 规划内'!M212</f>
        <v>44409</v>
      </c>
      <c r="N21" s="26">
        <f>'附件3 规划内'!N212</f>
        <v>44469</v>
      </c>
      <c r="O21" t="str">
        <f>'附件3 规划内'!O212</f>
        <v>市教体局</v>
      </c>
      <c r="P21" t="str">
        <f>'附件3 规划内'!P212</f>
        <v>尉氏县</v>
      </c>
      <c r="Q21">
        <f>'附件3 规划内'!Q212</f>
        <v>0</v>
      </c>
      <c r="R21">
        <f>'附件3 规划内'!R212</f>
        <v>0</v>
      </c>
    </row>
    <row r="22" spans="1:18">
      <c r="A22">
        <f>'附件3 规划内'!A213</f>
        <v>197</v>
      </c>
      <c r="B22" t="str">
        <f>'附件3 规划内'!B213</f>
        <v>尉氏县庄头镇郑店小学</v>
      </c>
      <c r="C22" t="str">
        <f>'附件3 规划内'!C213</f>
        <v>教育</v>
      </c>
      <c r="D22" t="str">
        <f>'附件3 规划内'!D213</f>
        <v>计划投入资金9万元，维修加固教师辅助用房及门卫室232平方米。</v>
      </c>
      <c r="E22">
        <f>'附件3 规划内'!E213</f>
        <v>4</v>
      </c>
      <c r="F22">
        <f>'附件3 规划内'!F213</f>
        <v>4</v>
      </c>
      <c r="G22">
        <f>'附件3 规划内'!G213</f>
        <v>0</v>
      </c>
      <c r="H22">
        <f>'附件3 规划内'!H213</f>
        <v>0</v>
      </c>
      <c r="I22" t="str">
        <f>'附件3 规划内'!I213</f>
        <v>完工</v>
      </c>
      <c r="J22">
        <f>'附件3 规划内'!J213</f>
        <v>4</v>
      </c>
      <c r="K22" t="str">
        <f>'附件3 规划内'!K213</f>
        <v/>
      </c>
      <c r="L22">
        <f>'附件3 规划内'!L213</f>
        <v>0</v>
      </c>
      <c r="M22" s="26">
        <f>'附件3 规划内'!M213</f>
        <v>44409</v>
      </c>
      <c r="N22" s="26">
        <f>'附件3 规划内'!N213</f>
        <v>44469</v>
      </c>
      <c r="O22" t="str">
        <f>'附件3 规划内'!O213</f>
        <v>市教体局</v>
      </c>
      <c r="P22" t="str">
        <f>'附件3 规划内'!P213</f>
        <v>尉氏县</v>
      </c>
      <c r="Q22">
        <f>'附件3 规划内'!Q213</f>
        <v>0</v>
      </c>
      <c r="R22">
        <f>'附件3 规划内'!R213</f>
        <v>0</v>
      </c>
    </row>
    <row r="23" spans="1:18">
      <c r="A23">
        <f>'附件3 规划内'!A214</f>
        <v>197</v>
      </c>
      <c r="B23" t="str">
        <f>'附件3 规划内'!B214</f>
        <v>尉氏县洧川镇育才小学</v>
      </c>
      <c r="C23" t="str">
        <f>'附件3 规划内'!C214</f>
        <v>教育</v>
      </c>
      <c r="D23" t="str">
        <f>'附件3 规划内'!D214</f>
        <v>计划投入资金15万元，维修加固育才小学教学楼195平方米。</v>
      </c>
      <c r="E23">
        <f>'附件3 规划内'!E214</f>
        <v>1.65</v>
      </c>
      <c r="F23">
        <f>'附件3 规划内'!F214</f>
        <v>1.65</v>
      </c>
      <c r="G23">
        <f>'附件3 规划内'!G214</f>
        <v>0</v>
      </c>
      <c r="H23">
        <f>'附件3 规划内'!H214</f>
        <v>0</v>
      </c>
      <c r="I23" t="str">
        <f>'附件3 规划内'!I214</f>
        <v>完工</v>
      </c>
      <c r="J23">
        <f>'附件3 规划内'!J214</f>
        <v>1.65</v>
      </c>
      <c r="K23" t="str">
        <f>'附件3 规划内'!K214</f>
        <v/>
      </c>
      <c r="L23">
        <f>'附件3 规划内'!L214</f>
        <v>0</v>
      </c>
      <c r="M23" s="26">
        <f>'附件3 规划内'!M214</f>
        <v>44409</v>
      </c>
      <c r="N23" s="26">
        <f>'附件3 规划内'!N214</f>
        <v>44469</v>
      </c>
      <c r="O23" t="str">
        <f>'附件3 规划内'!O214</f>
        <v>市教体局</v>
      </c>
      <c r="P23" t="str">
        <f>'附件3 规划内'!P214</f>
        <v>尉氏县</v>
      </c>
      <c r="Q23">
        <f>'附件3 规划内'!Q214</f>
        <v>0</v>
      </c>
      <c r="R23">
        <f>'附件3 规划内'!R214</f>
        <v>0</v>
      </c>
    </row>
    <row r="24" spans="1:18">
      <c r="A24">
        <f>'附件3 规划内'!A215</f>
        <v>197</v>
      </c>
      <c r="B24" t="str">
        <f>'附件3 规划内'!B215</f>
        <v>尉氏县庄头镇中心学校</v>
      </c>
      <c r="C24" t="str">
        <f>'附件3 规划内'!C215</f>
        <v>教育</v>
      </c>
      <c r="D24" t="str">
        <f>'附件3 规划内'!D215</f>
        <v>计划投入资金90.4万元，维修加固8号教学楼1130平方米。</v>
      </c>
      <c r="E24">
        <f>'附件3 规划内'!E215</f>
        <v>4.3</v>
      </c>
      <c r="F24">
        <f>'附件3 规划内'!F215</f>
        <v>4.3</v>
      </c>
      <c r="G24">
        <f>'附件3 规划内'!G215</f>
        <v>0</v>
      </c>
      <c r="H24">
        <f>'附件3 规划内'!H215</f>
        <v>0</v>
      </c>
      <c r="I24" t="str">
        <f>'附件3 规划内'!I215</f>
        <v>完工</v>
      </c>
      <c r="J24">
        <f>'附件3 规划内'!J215</f>
        <v>4.3</v>
      </c>
      <c r="K24" t="str">
        <f>'附件3 规划内'!K215</f>
        <v/>
      </c>
      <c r="L24">
        <f>'附件3 规划内'!L215</f>
        <v>0</v>
      </c>
      <c r="M24" s="26">
        <f>'附件3 规划内'!M215</f>
        <v>44409</v>
      </c>
      <c r="N24" s="26">
        <f>'附件3 规划内'!N215</f>
        <v>44469</v>
      </c>
      <c r="O24" t="str">
        <f>'附件3 规划内'!O215</f>
        <v>市教体局</v>
      </c>
      <c r="P24" t="str">
        <f>'附件3 规划内'!P215</f>
        <v>尉氏县</v>
      </c>
      <c r="Q24">
        <f>'附件3 规划内'!Q215</f>
        <v>0</v>
      </c>
      <c r="R24">
        <f>'附件3 规划内'!R215</f>
        <v>0</v>
      </c>
    </row>
    <row r="25" spans="1:18">
      <c r="A25">
        <f>'附件3 规划内'!A216</f>
        <v>197</v>
      </c>
      <c r="B25" t="str">
        <f>'附件3 规划内'!B216</f>
        <v>尉氏县庄头镇文家小学</v>
      </c>
      <c r="C25" t="str">
        <f>'附件3 规划内'!C216</f>
        <v>教育</v>
      </c>
      <c r="D25" t="str">
        <f>'附件3 规划内'!D216</f>
        <v>计划投入资金69万元，维修加固北教学楼870平方米。</v>
      </c>
      <c r="E25">
        <f>'附件3 规划内'!E216</f>
        <v>1</v>
      </c>
      <c r="F25">
        <f>'附件3 规划内'!F216</f>
        <v>1</v>
      </c>
      <c r="G25">
        <f>'附件3 规划内'!G216</f>
        <v>0</v>
      </c>
      <c r="H25">
        <f>'附件3 规划内'!H216</f>
        <v>0</v>
      </c>
      <c r="I25" t="str">
        <f>'附件3 规划内'!I216</f>
        <v>完工</v>
      </c>
      <c r="J25">
        <f>'附件3 规划内'!J216</f>
        <v>1</v>
      </c>
      <c r="K25" t="str">
        <f>'附件3 规划内'!K216</f>
        <v/>
      </c>
      <c r="L25">
        <f>'附件3 规划内'!L216</f>
        <v>0</v>
      </c>
      <c r="M25" s="26">
        <f>'附件3 规划内'!M216</f>
        <v>44409</v>
      </c>
      <c r="N25" s="26">
        <f>'附件3 规划内'!N216</f>
        <v>44469</v>
      </c>
      <c r="O25" t="str">
        <f>'附件3 规划内'!O216</f>
        <v>市教体局</v>
      </c>
      <c r="P25" t="str">
        <f>'附件3 规划内'!P216</f>
        <v>尉氏县</v>
      </c>
      <c r="Q25">
        <f>'附件3 规划内'!Q216</f>
        <v>0</v>
      </c>
      <c r="R25">
        <f>'附件3 规划内'!R216</f>
        <v>0</v>
      </c>
    </row>
    <row r="26" spans="1:18">
      <c r="A26">
        <f>'附件3 规划内'!A248</f>
        <v>229</v>
      </c>
      <c r="B26" t="str">
        <f>'附件3 规划内'!B248</f>
        <v>开封市卫生学校校舍灾后恢复重建项目</v>
      </c>
      <c r="C26" t="str">
        <f>'附件3 规划内'!C248</f>
        <v>卫生健康</v>
      </c>
      <c r="D26" t="str">
        <f>'附件3 规划内'!D248</f>
        <v>学校东校区1号宿舍楼610平方米、3号宿舍楼楼顶780平方米，合计1390平方米的屋顶防水改造。</v>
      </c>
      <c r="E26">
        <f>'附件3 规划内'!E248</f>
        <v>150</v>
      </c>
      <c r="F26">
        <f>'附件3 规划内'!F248</f>
        <v>150</v>
      </c>
      <c r="G26">
        <f>'附件3 规划内'!G248</f>
        <v>0</v>
      </c>
      <c r="H26">
        <f>'附件3 规划内'!H248</f>
        <v>0</v>
      </c>
      <c r="I26" t="str">
        <f>'附件3 规划内'!I248</f>
        <v>完工</v>
      </c>
      <c r="J26">
        <f>'附件3 规划内'!J248</f>
        <v>150</v>
      </c>
      <c r="K26" t="str">
        <f>'附件3 规划内'!K248</f>
        <v/>
      </c>
      <c r="L26">
        <f>'附件3 规划内'!L248</f>
        <v>0</v>
      </c>
      <c r="M26" s="26">
        <f>'附件3 规划内'!M248</f>
        <v>44470</v>
      </c>
      <c r="N26" s="26">
        <f>'附件3 规划内'!N248</f>
        <v>44531</v>
      </c>
      <c r="O26" t="str">
        <f>'附件3 规划内'!O248</f>
        <v>市教体局</v>
      </c>
      <c r="P26" t="str">
        <f>'附件3 规划内'!P248</f>
        <v>市本级</v>
      </c>
      <c r="Q26">
        <f>'附件3 规划内'!Q248</f>
        <v>0</v>
      </c>
      <c r="R26" t="str">
        <f>'附件3 规划内'!R248</f>
        <v>2021年已完工</v>
      </c>
    </row>
  </sheetData>
  <sheetProtection sheet="1" formatCells="0" formatColumns="0" formatRows="0" sort="0" autoFilter="0" objects="1" scenarios="1"/>
  <autoFilter ref="A6:R26">
    <extLst/>
  </autoFilter>
  <mergeCells count="5">
    <mergeCell ref="A1:G1"/>
    <mergeCell ref="H1:N1"/>
    <mergeCell ref="O1:U1"/>
    <mergeCell ref="A5:R5"/>
    <mergeCell ref="T5:AK5"/>
  </mergeCell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K17"/>
  <sheetViews>
    <sheetView zoomScale="90" zoomScaleNormal="90" workbookViewId="0">
      <pane ySplit="6" topLeftCell="A7" activePane="bottomLeft" state="frozen"/>
      <selection/>
      <selection pane="bottomLeft" activeCell="Q16" sqref="Q16"/>
    </sheetView>
  </sheetViews>
  <sheetFormatPr defaultColWidth="9" defaultRowHeight="13.5"/>
  <cols>
    <col min="3" max="3" width="10.2666666666667" customWidth="1"/>
    <col min="7" max="7" width="9.90833333333333" customWidth="1"/>
    <col min="11" max="11" width="9.36666666666667"/>
    <col min="13" max="14" width="11.9083333333333" customWidth="1"/>
    <col min="32" max="33" width="11.9083333333333" customWidth="1"/>
  </cols>
  <sheetData>
    <row r="1" ht="14.15" customHeight="1" spans="1:21">
      <c r="A1" s="2" t="s">
        <v>1252</v>
      </c>
      <c r="B1" s="3"/>
      <c r="C1" s="3"/>
      <c r="D1" s="3"/>
      <c r="E1" s="3"/>
      <c r="F1" s="3"/>
      <c r="G1" s="4"/>
      <c r="H1" s="5" t="s">
        <v>1253</v>
      </c>
      <c r="I1" s="5"/>
      <c r="J1" s="5"/>
      <c r="K1" s="5"/>
      <c r="L1" s="5"/>
      <c r="M1" s="5"/>
      <c r="N1" s="5"/>
      <c r="O1" s="16" t="s">
        <v>1254</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23</v>
      </c>
      <c r="C3" s="10">
        <f t="shared" ref="C3:F4" si="0">J3+Q3</f>
        <v>136082.3</v>
      </c>
      <c r="D3" s="10">
        <f t="shared" si="0"/>
        <v>23</v>
      </c>
      <c r="E3" s="10">
        <f t="shared" si="0"/>
        <v>5</v>
      </c>
      <c r="F3" s="10">
        <f t="shared" si="0"/>
        <v>105014.5</v>
      </c>
      <c r="G3" s="11">
        <f>IF(C3=0,"-",ROUND(F3/C3,3))</f>
        <v>0.772</v>
      </c>
      <c r="H3" s="8" t="s">
        <v>1146</v>
      </c>
      <c r="I3" s="17">
        <f>COUNT(E7:E122)</f>
        <v>11</v>
      </c>
      <c r="J3" s="21">
        <f>SUM(E7:E122)</f>
        <v>13241.9</v>
      </c>
      <c r="K3" s="21">
        <f>COUNTIF(I7:I122,"在建")+COUNTIF(I7:I122,"完工")</f>
        <v>11</v>
      </c>
      <c r="L3" s="21">
        <f>COUNTIF(I7:I122,"完工")</f>
        <v>3</v>
      </c>
      <c r="M3" s="17">
        <f>SUM(J7:J122)</f>
        <v>12212.5</v>
      </c>
      <c r="N3" s="22">
        <f>IF(J3=0,"-",ROUND(M3/J3,3))</f>
        <v>0.922</v>
      </c>
      <c r="O3" s="19" t="s">
        <v>1146</v>
      </c>
      <c r="P3" s="20">
        <f>COUNT(X7:X122)+2</f>
        <v>12</v>
      </c>
      <c r="Q3" s="24">
        <f>SUM(X7:X122)</f>
        <v>122840.4</v>
      </c>
      <c r="R3" s="24">
        <f>COUNTIF(AB7:AB122,"在建")+COUNTIF(AB7:AB122,"完工")+2</f>
        <v>12</v>
      </c>
      <c r="S3" s="24">
        <f>COUNTIF(AB7:AB122,"完工")</f>
        <v>2</v>
      </c>
      <c r="T3" s="20">
        <f>SUM(AC7:AC122)</f>
        <v>92802</v>
      </c>
      <c r="U3" s="25">
        <f>IF(Q3=0,"-",ROUND(T3/Q3,3))</f>
        <v>0.755</v>
      </c>
    </row>
    <row r="4" s="1" customFormat="1" ht="27" spans="1:21">
      <c r="A4" s="9" t="s">
        <v>1147</v>
      </c>
      <c r="B4" s="10">
        <f>I4+P4</f>
        <v>20</v>
      </c>
      <c r="C4" s="10">
        <f t="shared" si="0"/>
        <v>62741.44</v>
      </c>
      <c r="D4" s="10">
        <f t="shared" si="0"/>
        <v>20</v>
      </c>
      <c r="E4" s="10">
        <f t="shared" si="0"/>
        <v>2</v>
      </c>
      <c r="F4" s="10">
        <f t="shared" si="0"/>
        <v>58773.04</v>
      </c>
      <c r="G4" s="12">
        <f>IF(C4=0,"-",ROUND(F4/C4,3))</f>
        <v>0.937</v>
      </c>
      <c r="H4" s="8" t="s">
        <v>1148</v>
      </c>
      <c r="I4" s="17">
        <f>COUNTIF(G7:G122,"&gt;0")</f>
        <v>8</v>
      </c>
      <c r="J4" s="21">
        <f>SUM(G7:G122)</f>
        <v>11135.9</v>
      </c>
      <c r="K4" s="21">
        <f>COUNTIFS(G7:G122,"&gt;0",I7:I122,"完工")+COUNTIFS(G7:G122,"&gt;0",I7:I122,"在建")</f>
        <v>8</v>
      </c>
      <c r="L4" s="21">
        <f>COUNTIFS(G7:G122,"&gt;0",I7:I122,"完工")</f>
        <v>0</v>
      </c>
      <c r="M4" s="17">
        <f>SUM(K7:K122)</f>
        <v>10106.5</v>
      </c>
      <c r="N4" s="22">
        <f>IF(J4=0,"-",ROUND(M4/J4,3))</f>
        <v>0.908</v>
      </c>
      <c r="O4" s="19" t="s">
        <v>1148</v>
      </c>
      <c r="P4" s="20">
        <f>COUNTIF(Z7:Z122,"&gt;0")+2</f>
        <v>12</v>
      </c>
      <c r="Q4" s="24">
        <f>SUM(Z7:Z122)</f>
        <v>51605.54</v>
      </c>
      <c r="R4" s="24">
        <f>COUNTIFS(Z7:Z122,"&gt;0",AB7:AB122,"完工")+COUNTIFS(Z7:Z122,"&gt;0",AB7:AB122,"在建")+IF(AB10&lt;&gt;"未开工",1,0)+IF(AB13&lt;&gt;"未开工",1,0)</f>
        <v>12</v>
      </c>
      <c r="S4" s="24">
        <f>COUNTIFS(Z7:Z122,"&gt;0",AB7:AB122,"完工")+IF(AB10="完工",1,0)+IF(AB13="完工",1,0)</f>
        <v>2</v>
      </c>
      <c r="T4" s="20">
        <f>SUM(AD7:AD122)</f>
        <v>48666.54</v>
      </c>
      <c r="U4" s="25">
        <f>IF(Q4=0,"-",ROUND(T4/Q4,3))</f>
        <v>0.943</v>
      </c>
    </row>
    <row r="5" s="1" customFormat="1" spans="1:37">
      <c r="A5" s="13" t="s">
        <v>1255</v>
      </c>
      <c r="B5" s="14"/>
      <c r="C5" s="14"/>
      <c r="D5" s="14"/>
      <c r="E5" s="14"/>
      <c r="F5" s="14"/>
      <c r="G5" s="14"/>
      <c r="H5" s="14"/>
      <c r="I5" s="14"/>
      <c r="J5" s="14"/>
      <c r="K5" s="14"/>
      <c r="L5" s="14"/>
      <c r="M5" s="14"/>
      <c r="N5" s="14"/>
      <c r="O5" s="14"/>
      <c r="P5" s="14"/>
      <c r="Q5" s="14"/>
      <c r="R5" s="14"/>
      <c r="T5" s="13" t="s">
        <v>1256</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规划内'!A217</f>
        <v>198</v>
      </c>
      <c r="B7" t="str">
        <f>'附件3 规划内'!B217</f>
        <v>开封市尉氏县村卫生室灾后恢复重建项目（114个）</v>
      </c>
      <c r="C7" t="str">
        <f>'附件3 规划内'!C217</f>
        <v>卫生健康</v>
      </c>
      <c r="D7" t="str">
        <f>'附件3 规划内'!D217</f>
        <v>村卫生室房屋修缮改造面积13680平方米，设施设备更新。</v>
      </c>
      <c r="E7">
        <f>'附件3 规划内'!E217</f>
        <v>2280</v>
      </c>
      <c r="F7">
        <f>'附件3 规划内'!F217</f>
        <v>10</v>
      </c>
      <c r="G7">
        <f>'附件3 规划内'!G217</f>
        <v>2270</v>
      </c>
      <c r="H7">
        <f>'附件3 规划内'!H217</f>
        <v>0</v>
      </c>
      <c r="I7" t="str">
        <f>'附件3 规划内'!I217</f>
        <v>在建</v>
      </c>
      <c r="J7">
        <f>'附件3 规划内'!J217</f>
        <v>2276</v>
      </c>
      <c r="K7">
        <f>'附件3 规划内'!K217</f>
        <v>2266</v>
      </c>
      <c r="L7" t="str">
        <f>'附件3 规划内'!L217</f>
        <v>尉氏县114所村卫生室已全部开工。其中蔡庄乡：南街、水台、刘拐、村卫生室主体完工、十八里村室、马家、石槽李、金针主体完工。张市邢庄、村室地基回填剩余村室正在施工中。</v>
      </c>
      <c r="M7" s="26">
        <f>'附件3 规划内'!M217</f>
        <v>44531</v>
      </c>
      <c r="N7" s="26">
        <f>'附件3 规划内'!N217</f>
        <v>44896</v>
      </c>
      <c r="O7" t="str">
        <f>'附件3 规划内'!O217</f>
        <v>市卫生健康委</v>
      </c>
      <c r="P7" t="str">
        <f>'附件3 规划内'!P217</f>
        <v>尉氏县</v>
      </c>
      <c r="Q7">
        <f>'附件3 规划内'!Q217</f>
        <v>20.5</v>
      </c>
      <c r="R7" t="str">
        <f>'附件3 规划内'!R217</f>
        <v>2022年12月底</v>
      </c>
      <c r="T7">
        <f>'附件4 规划外'!A101</f>
        <v>112</v>
      </c>
      <c r="U7" t="str">
        <f>'附件4 规划外'!B101</f>
        <v>开封市传染病医院迁建项目</v>
      </c>
      <c r="V7" t="str">
        <f>'附件4 规划外'!C101</f>
        <v>卫生健康</v>
      </c>
      <c r="W7" t="str">
        <f>'附件4 规划外'!D101</f>
        <v>总建筑面积4.1万平方米，主要建设内容为医疗综合楼、行政办公楼等建筑，设计开放床位500张。</v>
      </c>
      <c r="X7">
        <f>'附件4 规划外'!E101</f>
        <v>21984</v>
      </c>
      <c r="Y7">
        <f>'附件4 规划外'!F101</f>
        <v>10615</v>
      </c>
      <c r="Z7">
        <f>'附件4 规划外'!G101</f>
        <v>3000</v>
      </c>
      <c r="AA7">
        <f>'附件4 规划外'!H101</f>
        <v>8369</v>
      </c>
      <c r="AB7" t="str">
        <f>'附件4 规划外'!I101</f>
        <v>在建</v>
      </c>
      <c r="AC7">
        <f>'附件4 规划外'!J101</f>
        <v>14575</v>
      </c>
      <c r="AD7">
        <f>'附件4 规划外'!K101</f>
        <v>3960</v>
      </c>
      <c r="AE7" t="str">
        <f>'附件4 规划外'!L101</f>
        <v>坡道外墙回填土完成，医技综合楼外墙粉刷正在进行，艾滋病房楼砌体施工正在进行，直燃机房及污水处理站开始砌筑，地下车库放线完成</v>
      </c>
      <c r="AF7" s="26">
        <f>'附件4 规划外'!M101</f>
        <v>43952</v>
      </c>
      <c r="AG7" s="26">
        <f>'附件4 规划外'!N101</f>
        <v>45139</v>
      </c>
      <c r="AH7" t="str">
        <f>'附件4 规划外'!O101</f>
        <v>市卫生健康委</v>
      </c>
      <c r="AI7" t="str">
        <f>'附件4 规划外'!P101</f>
        <v>市本级</v>
      </c>
      <c r="AJ7">
        <f>'附件4 规划外'!Q101</f>
        <v>0</v>
      </c>
      <c r="AK7">
        <f>'附件4 规划外'!R101</f>
        <v>0</v>
      </c>
    </row>
    <row r="8" spans="1:37">
      <c r="A8">
        <f>'附件3 规划内'!A218</f>
        <v>199</v>
      </c>
      <c r="B8" t="str">
        <f>'附件3 规划内'!B218</f>
        <v>开封市尉氏县乡镇卫生院灾后恢复重建项目（17个）</v>
      </c>
      <c r="C8" t="str">
        <f>'附件3 规划内'!C218</f>
        <v>卫生健康</v>
      </c>
      <c r="D8" t="str">
        <f>'附件3 规划内'!D218</f>
        <v>岗李、洧川、张市、十八里、蔡庄、蔡庄刘拐、大桥、朱曲、大营、永兴、邢庄、门楼任、小陈、南曹、大马、水坡等16个乡镇卫生院维修修缮，设备维修购置190台，庄头卫生院恢复重建。</v>
      </c>
      <c r="E8">
        <f>'附件3 规划内'!E218</f>
        <v>6750</v>
      </c>
      <c r="F8">
        <f>'附件3 规划内'!F218</f>
        <v>607</v>
      </c>
      <c r="G8">
        <f>'附件3 规划内'!G218</f>
        <v>6143</v>
      </c>
      <c r="H8">
        <f>'附件3 规划内'!H218</f>
        <v>0</v>
      </c>
      <c r="I8" t="str">
        <f>'附件3 规划内'!I218</f>
        <v>在建</v>
      </c>
      <c r="J8">
        <f>'附件3 规划内'!J218</f>
        <v>6234</v>
      </c>
      <c r="K8">
        <f>'附件3 规划内'!K218</f>
        <v>5627</v>
      </c>
      <c r="L8" t="str">
        <f>'附件3 规划内'!L218</f>
        <v>17家卫生院全部开工，已6家卫生院完成院内修缮工作。其中庄头卫生院：综合病房楼六层封顶完毕；蔡庄卫生院：正在购置空调并进行医疗设备招标。剩余乡卫生院正在推进院内修缮工作。</v>
      </c>
      <c r="M8" s="26">
        <f>'附件3 规划内'!M218</f>
        <v>44197</v>
      </c>
      <c r="N8" s="26">
        <f>'附件3 规划内'!N218</f>
        <v>44896</v>
      </c>
      <c r="O8" t="str">
        <f>'附件3 规划内'!O218</f>
        <v>市卫生健康委</v>
      </c>
      <c r="P8" t="str">
        <f>'附件3 规划内'!P218</f>
        <v>尉氏县</v>
      </c>
      <c r="Q8">
        <f>'附件3 规划内'!Q218</f>
        <v>0</v>
      </c>
      <c r="R8" t="str">
        <f>'附件3 规划内'!R218</f>
        <v>2022年12月底</v>
      </c>
      <c r="T8">
        <f>'附件4 规划外'!A102</f>
        <v>113</v>
      </c>
      <c r="U8" t="str">
        <f>'附件4 规划外'!B102</f>
        <v>开封市中医院国家中医药传承创新工程项目</v>
      </c>
      <c r="V8" t="str">
        <f>'附件4 规划外'!C102</f>
        <v>卫生健康</v>
      </c>
      <c r="W8" t="str">
        <f>'附件4 规划外'!D102</f>
        <v>总建筑面积为3.72万平方米，建设主要内容为医疗业务用房，中医药制剂楼医疗辅助用房，科研用房，临床教学用房。</v>
      </c>
      <c r="X8">
        <f>'附件4 规划外'!E102</f>
        <v>18000</v>
      </c>
      <c r="Y8">
        <f>'附件4 规划外'!F102</f>
        <v>9739</v>
      </c>
      <c r="Z8">
        <f>'附件4 规划外'!G102</f>
        <v>8261</v>
      </c>
      <c r="AA8">
        <f>'附件4 规划外'!H102</f>
        <v>0</v>
      </c>
      <c r="AB8" t="str">
        <f>'附件4 规划外'!I102</f>
        <v>在建</v>
      </c>
      <c r="AC8">
        <f>'附件4 规划外'!J102</f>
        <v>17370</v>
      </c>
      <c r="AD8">
        <f>'附件4 规划外'!K102</f>
        <v>7631</v>
      </c>
      <c r="AE8" t="str">
        <f>'附件4 规划外'!L102</f>
        <v>已经完成A区六层底板混凝土浇筑，C区六层底板钢筋绑扎，B区六层顶板模板安装；正进行基坑回填施工和地下室外墙防水施工</v>
      </c>
      <c r="AF8" s="26">
        <f>'附件4 规划外'!M102</f>
        <v>43952</v>
      </c>
      <c r="AG8" s="26">
        <f>'附件4 规划外'!N102</f>
        <v>44896</v>
      </c>
      <c r="AH8" t="str">
        <f>'附件4 规划外'!O102</f>
        <v>市卫生健康委</v>
      </c>
      <c r="AI8" t="str">
        <f>'附件4 规划外'!P102</f>
        <v>市本级</v>
      </c>
      <c r="AJ8">
        <f>'附件4 规划外'!Q102</f>
        <v>0</v>
      </c>
      <c r="AK8">
        <f>'附件4 规划外'!R102</f>
        <v>0</v>
      </c>
    </row>
    <row r="9" spans="1:37">
      <c r="A9">
        <f>'附件3 规划内'!A219</f>
        <v>200</v>
      </c>
      <c r="B9" t="str">
        <f>'附件3 规划内'!B219</f>
        <v>开封市尉氏县疾控中心灾后恢复重建项目</v>
      </c>
      <c r="C9" t="str">
        <f>'附件3 规划内'!C219</f>
        <v>卫生健康</v>
      </c>
      <c r="D9" t="str">
        <f>'附件3 规划内'!D219</f>
        <v>后勤设备设施雨水冲刷53台、医疗设备12台、信息类设备9台、车辆受损3台。</v>
      </c>
      <c r="E9">
        <f>'附件3 规划内'!E219</f>
        <v>500</v>
      </c>
      <c r="F9">
        <f>'附件3 规划内'!F219</f>
        <v>16</v>
      </c>
      <c r="G9">
        <f>'附件3 规划内'!G219</f>
        <v>484</v>
      </c>
      <c r="H9">
        <f>'附件3 规划内'!H219</f>
        <v>0</v>
      </c>
      <c r="I9" t="str">
        <f>'附件3 规划内'!I219</f>
        <v>在建</v>
      </c>
      <c r="J9">
        <f>'附件3 规划内'!J219</f>
        <v>325</v>
      </c>
      <c r="K9">
        <f>'附件3 规划内'!K219</f>
        <v>309</v>
      </c>
      <c r="L9" t="str">
        <f>'附件3 规划内'!L219</f>
        <v>CT和心电图购买申请已获县卫健委审批正在等待上级部门批准</v>
      </c>
      <c r="M9" s="26">
        <f>'附件3 规划内'!M219</f>
        <v>44197</v>
      </c>
      <c r="N9" s="26">
        <f>'附件3 规划内'!N219</f>
        <v>44896</v>
      </c>
      <c r="O9" t="str">
        <f>'附件3 规划内'!O219</f>
        <v>市卫生健康委</v>
      </c>
      <c r="P9" t="str">
        <f>'附件3 规划内'!P219</f>
        <v>尉氏县</v>
      </c>
      <c r="Q9">
        <f>'附件3 规划内'!Q219</f>
        <v>0</v>
      </c>
      <c r="R9" t="str">
        <f>'附件3 规划内'!R219</f>
        <v>2022年12月底</v>
      </c>
      <c r="T9">
        <f>'附件4 规划外'!A103</f>
        <v>114</v>
      </c>
      <c r="U9" t="str">
        <f>'附件4 规划外'!B103</f>
        <v>开封市人民医院综合病房楼项目</v>
      </c>
      <c r="V9" t="str">
        <f>'附件4 规划外'!C103</f>
        <v>卫生健康</v>
      </c>
      <c r="W9" t="str">
        <f>'附件4 规划外'!D103</f>
        <v>总建筑面积2.07万平方米，建设主要内容为住院病房及办公用房，设计病床250张，设计地下二层为机房及人防区域。</v>
      </c>
      <c r="X9">
        <f>'附件4 规划外'!E103</f>
        <v>12600</v>
      </c>
      <c r="Y9">
        <f>'附件4 规划外'!F103</f>
        <v>6300</v>
      </c>
      <c r="Z9">
        <f>'附件4 规划外'!G103</f>
        <v>6300</v>
      </c>
      <c r="AA9">
        <f>'附件4 规划外'!H103</f>
        <v>0</v>
      </c>
      <c r="AB9" t="str">
        <f>'附件4 规划外'!I103</f>
        <v>完工</v>
      </c>
      <c r="AC9">
        <f>'附件4 规划外'!J103</f>
        <v>12600</v>
      </c>
      <c r="AD9">
        <f>'附件4 规划外'!K103</f>
        <v>6300</v>
      </c>
      <c r="AE9" t="str">
        <f>'附件4 规划外'!L103</f>
        <v>病房、走廊、办公区墙面板、吊顶安装进行中。病房、办公区门加工定做中，弱电穿线已完成。</v>
      </c>
      <c r="AF9" s="26">
        <f>'附件4 规划外'!M103</f>
        <v>43952</v>
      </c>
      <c r="AG9" s="26">
        <f>'附件4 规划外'!N103</f>
        <v>44774</v>
      </c>
      <c r="AH9" t="str">
        <f>'附件4 规划外'!O103</f>
        <v>市卫生健康委</v>
      </c>
      <c r="AI9" t="str">
        <f>'附件4 规划外'!P103</f>
        <v>市本级</v>
      </c>
      <c r="AJ9">
        <f>'附件4 规划外'!Q103</f>
        <v>0</v>
      </c>
      <c r="AK9">
        <f>'附件4 规划外'!R103</f>
        <v>0</v>
      </c>
    </row>
    <row r="10" spans="1:37">
      <c r="A10">
        <f>'附件3 规划内'!A220</f>
        <v>201</v>
      </c>
      <c r="B10" t="str">
        <f>'附件3 规划内'!B220</f>
        <v>开封市尉氏县120指挥中心灾后恢复重建项目</v>
      </c>
      <c r="C10" t="str">
        <f>'附件3 规划内'!C220</f>
        <v>卫生健康</v>
      </c>
      <c r="D10" t="str">
        <f>'附件3 规划内'!D220</f>
        <v>房屋漏水维修1000平方米，外墙维修3520平方米，室内漏水造成吊顶及墙地面的恢复，楼内屋面改造，视频监控维修更换，信息设备维修更换。</v>
      </c>
      <c r="E10">
        <f>'附件3 规划内'!E220</f>
        <v>500</v>
      </c>
      <c r="F10">
        <f>'附件3 规划内'!F220</f>
        <v>230</v>
      </c>
      <c r="G10">
        <f>'附件3 规划内'!G220</f>
        <v>270</v>
      </c>
      <c r="H10">
        <f>'附件3 规划内'!H220</f>
        <v>0</v>
      </c>
      <c r="I10" t="str">
        <f>'附件3 规划内'!I220</f>
        <v>在建</v>
      </c>
      <c r="J10">
        <f>'附件3 规划内'!J220</f>
        <v>450</v>
      </c>
      <c r="K10">
        <f>'附件3 规划内'!K220</f>
        <v>220</v>
      </c>
      <c r="L10" t="str">
        <f>'附件3 规划内'!L220</f>
        <v>项目已完工。</v>
      </c>
      <c r="M10" s="26">
        <f>'附件3 规划内'!M220</f>
        <v>44197</v>
      </c>
      <c r="N10" s="26">
        <f>'附件3 规划内'!N220</f>
        <v>44896</v>
      </c>
      <c r="O10" t="str">
        <f>'附件3 规划内'!O220</f>
        <v>市卫生健康委</v>
      </c>
      <c r="P10" t="str">
        <f>'附件3 规划内'!P220</f>
        <v>尉氏县</v>
      </c>
      <c r="Q10">
        <f>'附件3 规划内'!Q220</f>
        <v>0</v>
      </c>
      <c r="R10" t="str">
        <f>'附件3 规划内'!R220</f>
        <v>2022年12月底</v>
      </c>
      <c r="T10" s="27" t="str">
        <f>'附件4 规划外'!A104</f>
        <v>115-116</v>
      </c>
      <c r="U10" s="27" t="str">
        <f>'附件4 规划外'!B104</f>
        <v>开封市第二中医院建设项目</v>
      </c>
      <c r="V10" s="27" t="str">
        <f>'附件4 规划外'!C104</f>
        <v>卫生健康</v>
      </c>
      <c r="W10" s="27" t="str">
        <f>'附件4 规划外'!D104</f>
        <v>1、河南省区域中医骨伤科诊疗中心项目：位于开封市第二中医院院内，由市第二中医院负责实施，采购相关设备 23 台/套，装修与局部建筑改造面积 600㎡。
2、市第二中医院扩建项目建筑面积为2.12万平方米，主要建设内容为门诊病房综合楼，设置床位392张。</v>
      </c>
      <c r="X10" s="27">
        <f>'附件4 规划外'!E104</f>
        <v>21133.3</v>
      </c>
      <c r="Y10" s="27">
        <f>'附件4 规划外'!F104</f>
        <v>5870</v>
      </c>
      <c r="Z10" s="27">
        <f>'附件4 规划外'!G104</f>
        <v>8600</v>
      </c>
      <c r="AA10" s="27">
        <f>'附件4 规划外'!H104</f>
        <v>6663.3</v>
      </c>
      <c r="AB10" s="27" t="str">
        <f>'附件4 规划外'!I104</f>
        <v>在建</v>
      </c>
      <c r="AC10" s="27">
        <f>'附件4 规划外'!J104</f>
        <v>15876</v>
      </c>
      <c r="AD10" s="27">
        <f>'附件4 规划外'!K104</f>
        <v>10006</v>
      </c>
      <c r="AE10" s="27" t="str">
        <f>'附件4 规划外'!L104</f>
        <v>6层主体施工完成，7层主体施工正在进行</v>
      </c>
      <c r="AF10" s="28">
        <f>'附件4 规划外'!M104</f>
        <v>44317</v>
      </c>
      <c r="AG10" s="28">
        <f>'附件4 规划外'!N104</f>
        <v>45139</v>
      </c>
      <c r="AH10" s="27" t="str">
        <f>'附件4 规划外'!O104</f>
        <v>市卫生健康委</v>
      </c>
      <c r="AI10" s="27" t="str">
        <f>'附件4 规划外'!P104</f>
        <v>市本级</v>
      </c>
      <c r="AJ10" s="27">
        <f>'附件4 规划外'!Q104</f>
        <v>0</v>
      </c>
      <c r="AK10" s="27">
        <f>'附件4 规划外'!R104</f>
        <v>0</v>
      </c>
    </row>
    <row r="11" spans="1:37">
      <c r="A11">
        <f>'附件3 规划内'!A221</f>
        <v>202</v>
      </c>
      <c r="B11" t="str">
        <f>'附件3 规划内'!B221</f>
        <v>开封市尉氏县中医院灾后恢复重建项目</v>
      </c>
      <c r="C11" t="str">
        <f>'附件3 规划内'!C221</f>
        <v>卫生健康</v>
      </c>
      <c r="D11" t="str">
        <f>'附件3 规划内'!D221</f>
        <v>门诊楼、病房、医技综合楼地基及附属设施、配电机房设施。</v>
      </c>
      <c r="E11">
        <f>'附件3 规划内'!E221</f>
        <v>800</v>
      </c>
      <c r="F11">
        <f>'附件3 规划内'!F221</f>
        <v>337</v>
      </c>
      <c r="G11">
        <f>'附件3 规划内'!G221</f>
        <v>463</v>
      </c>
      <c r="H11">
        <f>'附件3 规划内'!H221</f>
        <v>0</v>
      </c>
      <c r="I11" t="str">
        <f>'附件3 规划内'!I221</f>
        <v>在建</v>
      </c>
      <c r="J11">
        <f>'附件3 规划内'!J221</f>
        <v>690</v>
      </c>
      <c r="K11">
        <f>'附件3 规划内'!K221</f>
        <v>353</v>
      </c>
      <c r="L11" t="str">
        <f>'附件3 规划内'!L221</f>
        <v>正在进行院内路面加固</v>
      </c>
      <c r="M11" s="26">
        <f>'附件3 规划内'!M221</f>
        <v>44197</v>
      </c>
      <c r="N11" s="26">
        <f>'附件3 规划内'!N221</f>
        <v>44896</v>
      </c>
      <c r="O11" t="str">
        <f>'附件3 规划内'!O221</f>
        <v>市卫生健康委</v>
      </c>
      <c r="P11" t="str">
        <f>'附件3 规划内'!P221</f>
        <v>尉氏县</v>
      </c>
      <c r="Q11">
        <f>'附件3 规划内'!Q221</f>
        <v>0</v>
      </c>
      <c r="R11" t="str">
        <f>'附件3 规划内'!R221</f>
        <v>2022年12月底</v>
      </c>
      <c r="T11">
        <f>'附件4 规划外'!A105</f>
        <v>117</v>
      </c>
      <c r="U11" t="str">
        <f>'附件4 规划外'!B105</f>
        <v>开封市妇幼保健院东院区建设项目</v>
      </c>
      <c r="V11" t="str">
        <f>'附件4 规划外'!C105</f>
        <v>卫生健康</v>
      </c>
      <c r="W11" t="str">
        <f>'附件4 规划外'!D105</f>
        <v>总建筑面积为3.4万平方米，主要建设急诊医技和病房综合楼1栋，同时完善院区的其他配套设施等。</v>
      </c>
      <c r="X11">
        <f>'附件4 规划外'!E105</f>
        <v>16500</v>
      </c>
      <c r="Y11">
        <f>'附件4 规划外'!F105</f>
        <v>6000</v>
      </c>
      <c r="Z11">
        <f>'附件4 规划外'!G105</f>
        <v>5000</v>
      </c>
      <c r="AA11">
        <f>'附件4 规划外'!H105</f>
        <v>5500</v>
      </c>
      <c r="AB11" t="str">
        <f>'附件4 规划外'!I105</f>
        <v>在建</v>
      </c>
      <c r="AC11">
        <f>'附件4 规划外'!J105</f>
        <v>11050</v>
      </c>
      <c r="AD11">
        <f>'附件4 规划外'!K105</f>
        <v>5050</v>
      </c>
      <c r="AE11" t="str">
        <f>'附件4 规划外'!L105</f>
        <v>基坑东侧垫层施工完成，防水层施工完成。</v>
      </c>
      <c r="AF11" s="26">
        <f>'附件4 规划外'!M105</f>
        <v>44197</v>
      </c>
      <c r="AG11" s="26">
        <f>'附件4 规划外'!N105</f>
        <v>45139</v>
      </c>
      <c r="AH11" t="str">
        <f>'附件4 规划外'!O105</f>
        <v>市卫生健康委</v>
      </c>
      <c r="AI11" t="str">
        <f>'附件4 规划外'!P105</f>
        <v>市本级</v>
      </c>
      <c r="AJ11">
        <f>'附件4 规划外'!Q105</f>
        <v>0</v>
      </c>
      <c r="AK11">
        <f>'附件4 规划外'!R105</f>
        <v>0</v>
      </c>
    </row>
    <row r="12" spans="1:37">
      <c r="A12">
        <f>'附件3 规划内'!A222</f>
        <v>203</v>
      </c>
      <c r="B12" t="str">
        <f>'附件3 规划内'!B222</f>
        <v>开封市尉氏县中心医院灾后恢复重建项目</v>
      </c>
      <c r="C12" t="str">
        <f>'附件3 规划内'!C222</f>
        <v>卫生健康</v>
      </c>
      <c r="D12" t="str">
        <f>'附件3 规划内'!D222</f>
        <v>医疗设备项目：DSA数字减影设备1台、DRX线拍片机1台1、16排ct 1台、胃肠机1台、激光胶片打印机6台。</v>
      </c>
      <c r="E12">
        <f>'附件3 规划内'!E222</f>
        <v>1561.9</v>
      </c>
      <c r="F12">
        <f>'附件3 规划内'!F222</f>
        <v>440</v>
      </c>
      <c r="G12">
        <f>'附件3 规划内'!G222</f>
        <v>1121.9</v>
      </c>
      <c r="H12">
        <f>'附件3 规划内'!H222</f>
        <v>0</v>
      </c>
      <c r="I12" t="str">
        <f>'附件3 规划内'!I222</f>
        <v>在建</v>
      </c>
      <c r="J12">
        <f>'附件3 规划内'!J222</f>
        <v>1514</v>
      </c>
      <c r="K12">
        <f>'附件3 规划内'!K222</f>
        <v>1074</v>
      </c>
      <c r="L12" t="str">
        <f>'附件3 规划内'!L222</f>
        <v>已购置完成DSA、CT、救护车等设备。</v>
      </c>
      <c r="M12" s="26">
        <f>'附件3 规划内'!M222</f>
        <v>44197</v>
      </c>
      <c r="N12" s="26">
        <f>'附件3 规划内'!N222</f>
        <v>44896</v>
      </c>
      <c r="O12" t="str">
        <f>'附件3 规划内'!O222</f>
        <v>市卫生健康委</v>
      </c>
      <c r="P12" t="str">
        <f>'附件3 规划内'!P222</f>
        <v>尉氏县</v>
      </c>
      <c r="Q12">
        <f>'附件3 规划内'!Q222</f>
        <v>0</v>
      </c>
      <c r="R12" t="str">
        <f>'附件3 规划内'!R222</f>
        <v>2022年12月底</v>
      </c>
      <c r="T12">
        <f>'附件4 规划外'!A106</f>
        <v>118</v>
      </c>
      <c r="U12" t="str">
        <f>'附件4 规划外'!B106</f>
        <v>开封市疾控中心迁建项目</v>
      </c>
      <c r="V12" t="str">
        <f>'附件4 规划外'!C106</f>
        <v>卫生健康</v>
      </c>
      <c r="W12" t="str">
        <f>'附件4 规划外'!D106</f>
        <v>项目位于十一大街与金耀路交叉口东南角，规划建筑总面积约1.82万平方米，主要建设内容为实验楼、业务综合楼和地下配套工程。</v>
      </c>
      <c r="X12">
        <f>'附件4 规划外'!E106</f>
        <v>12500</v>
      </c>
      <c r="Y12">
        <f>'附件4 规划外'!F106</f>
        <v>0</v>
      </c>
      <c r="Z12">
        <f>'附件4 规划外'!G106</f>
        <v>7500</v>
      </c>
      <c r="AA12">
        <f>'附件4 规划外'!H106</f>
        <v>5000</v>
      </c>
      <c r="AB12" t="str">
        <f>'附件4 规划外'!I106</f>
        <v>在建</v>
      </c>
      <c r="AC12">
        <f>'附件4 规划外'!J106</f>
        <v>3840</v>
      </c>
      <c r="AD12">
        <f>'附件4 规划外'!K106</f>
        <v>3840</v>
      </c>
      <c r="AE12" t="str">
        <f>'附件4 规划外'!L106</f>
        <v>项目工程规划许可进行现场公示，取得市生态环境局环境影响报告书批复，项目造价竞争性磋商进行开标</v>
      </c>
      <c r="AF12" s="26">
        <f>'附件4 规划外'!M106</f>
        <v>44774</v>
      </c>
      <c r="AG12" s="26">
        <f>'附件4 规划外'!N106</f>
        <v>45505</v>
      </c>
      <c r="AH12" t="str">
        <f>'附件4 规划外'!O106</f>
        <v>市卫生健康委</v>
      </c>
      <c r="AI12" t="str">
        <f>'附件4 规划外'!P106</f>
        <v>市本级</v>
      </c>
      <c r="AJ12">
        <f>'附件4 规划外'!Q106</f>
        <v>0</v>
      </c>
      <c r="AK12">
        <f>'附件4 规划外'!R106</f>
        <v>0</v>
      </c>
    </row>
    <row r="13" spans="1:37">
      <c r="A13">
        <f>'附件3 规划内'!A223</f>
        <v>204</v>
      </c>
      <c r="B13" t="str">
        <f>'附件3 规划内'!B223</f>
        <v>开封市尉氏县人民医院灾后恢复重建项目</v>
      </c>
      <c r="C13" t="str">
        <f>'附件3 规划内'!C223</f>
        <v>卫生健康</v>
      </c>
      <c r="D13" t="str">
        <f>'附件3 规划内'!D223</f>
        <v>房屋建筑漏水4283平方米，后勤设备受损1台。</v>
      </c>
      <c r="E13">
        <f>'附件3 规划内'!E223</f>
        <v>100</v>
      </c>
      <c r="F13">
        <f>'附件3 规划内'!F223</f>
        <v>2</v>
      </c>
      <c r="G13">
        <f>'附件3 规划内'!G223</f>
        <v>98</v>
      </c>
      <c r="H13">
        <f>'附件3 规划内'!H223</f>
        <v>0</v>
      </c>
      <c r="I13" t="str">
        <f>'附件3 规划内'!I223</f>
        <v>在建</v>
      </c>
      <c r="J13">
        <f>'附件3 规划内'!J223</f>
        <v>98.5</v>
      </c>
      <c r="K13">
        <f>'附件3 规划内'!K223</f>
        <v>96.5</v>
      </c>
      <c r="L13" t="str">
        <f>'附件3 规划内'!L223</f>
        <v>屋顶天沟维修完工。</v>
      </c>
      <c r="M13" s="26">
        <f>'附件3 规划内'!M223</f>
        <v>44531</v>
      </c>
      <c r="N13" s="26">
        <f>'附件3 规划内'!N223</f>
        <v>44896</v>
      </c>
      <c r="O13" t="str">
        <f>'附件3 规划内'!O223</f>
        <v>市卫生健康委</v>
      </c>
      <c r="P13" t="str">
        <f>'附件3 规划内'!P223</f>
        <v>尉氏县</v>
      </c>
      <c r="Q13">
        <f>'附件3 规划内'!Q223</f>
        <v>0</v>
      </c>
      <c r="R13" t="str">
        <f>'附件3 规划内'!R223</f>
        <v>2022年12月底</v>
      </c>
      <c r="T13" s="27" t="str">
        <f>'附件4 规划外'!A107</f>
        <v>119-120</v>
      </c>
      <c r="U13" s="27" t="str">
        <f>'附件4 规划外'!B107</f>
        <v>开封市陇海医院建设项目</v>
      </c>
      <c r="V13" s="27" t="str">
        <f>'附件4 规划外'!C107</f>
        <v>卫生健康</v>
      </c>
      <c r="W13" s="27" t="str">
        <f>'附件4 规划外'!D107</f>
        <v>1、市陇海医院医养结合养护楼项目：建筑面积约6500平方米，主要建设内容为地下车库及储物间，地上养护病房，设置床位200张。
2、对外科及康复科病房楼项目：进行装修改造升级和购买设备，装修面积4000平方米。</v>
      </c>
      <c r="X13" s="27">
        <f>'附件4 规划外'!E107</f>
        <v>4600</v>
      </c>
      <c r="Y13" s="27">
        <f>'附件4 规划外'!F107</f>
        <v>0</v>
      </c>
      <c r="Z13" s="27">
        <f>'附件4 规划外'!G107</f>
        <v>4600</v>
      </c>
      <c r="AA13" s="27">
        <f>'附件4 规划外'!H107</f>
        <v>0</v>
      </c>
      <c r="AB13" s="27" t="str">
        <f>'附件4 规划外'!I107</f>
        <v>在建</v>
      </c>
      <c r="AC13" s="27">
        <f>'附件4 规划外'!J107</f>
        <v>3728</v>
      </c>
      <c r="AD13" s="27">
        <f>'附件4 规划外'!K107</f>
        <v>3728</v>
      </c>
      <c r="AE13" s="27" t="str">
        <f>'附件4 规划外'!L107</f>
        <v>水泥土搅拌桩已完成，正在进行清槽工作，抗浮锚杆和边坡支护喷浆施工正在进行</v>
      </c>
      <c r="AF13" s="28">
        <f>'附件4 规划外'!M107</f>
        <v>44531</v>
      </c>
      <c r="AG13" s="28">
        <f>'附件4 规划外'!N107</f>
        <v>44896</v>
      </c>
      <c r="AH13" s="27" t="str">
        <f>'附件4 规划外'!O107</f>
        <v>市卫生健康委</v>
      </c>
      <c r="AI13" s="27" t="str">
        <f>'附件4 规划外'!P107</f>
        <v>市本级</v>
      </c>
      <c r="AJ13" s="27">
        <f>'附件4 规划外'!Q107</f>
        <v>0</v>
      </c>
      <c r="AK13" s="27">
        <f>'附件4 规划外'!R107</f>
        <v>0</v>
      </c>
    </row>
    <row r="14" spans="1:37">
      <c r="A14">
        <f>'附件3 规划内'!A224</f>
        <v>205</v>
      </c>
      <c r="B14" t="str">
        <f>'附件3 规划内'!B224</f>
        <v>开封市尉氏县第二人民医院灾后恢复重建项目</v>
      </c>
      <c r="C14" t="str">
        <f>'附件3 规划内'!C224</f>
        <v>卫生健康</v>
      </c>
      <c r="D14" t="str">
        <f>'附件3 规划内'!D224</f>
        <v>房屋建筑漏水2620平方米，后勤设施设备受损8台。</v>
      </c>
      <c r="E14">
        <f>'附件3 规划内'!E224</f>
        <v>300</v>
      </c>
      <c r="F14">
        <f>'附件3 规划内'!F224</f>
        <v>14</v>
      </c>
      <c r="G14">
        <f>'附件3 规划内'!G224</f>
        <v>286</v>
      </c>
      <c r="H14">
        <f>'附件3 规划内'!H224</f>
        <v>0</v>
      </c>
      <c r="I14" t="str">
        <f>'附件3 规划内'!I224</f>
        <v>在建</v>
      </c>
      <c r="J14">
        <f>'附件3 规划内'!J224</f>
        <v>175</v>
      </c>
      <c r="K14">
        <f>'附件3 规划内'!K224</f>
        <v>161</v>
      </c>
      <c r="L14" t="str">
        <f>'附件3 规划内'!L224</f>
        <v>正在进行院墙加固。</v>
      </c>
      <c r="M14" s="26">
        <f>'附件3 规划内'!M224</f>
        <v>44531</v>
      </c>
      <c r="N14" s="26">
        <f>'附件3 规划内'!N224</f>
        <v>44896</v>
      </c>
      <c r="O14" t="str">
        <f>'附件3 规划内'!O224</f>
        <v>市卫生健康委</v>
      </c>
      <c r="P14" t="str">
        <f>'附件3 规划内'!P224</f>
        <v>尉氏县</v>
      </c>
      <c r="Q14">
        <f>'附件3 规划内'!Q224</f>
        <v>0</v>
      </c>
      <c r="R14" t="str">
        <f>'附件3 规划内'!R224</f>
        <v>2022年12月底</v>
      </c>
      <c r="T14">
        <f>'附件4 规划外'!A108</f>
        <v>121</v>
      </c>
      <c r="U14" t="str">
        <f>'附件4 规划外'!B108</f>
        <v>开封市儿童医院门诊医技楼、病房楼配套附属设施项目</v>
      </c>
      <c r="V14" t="str">
        <f>'附件4 规划外'!C108</f>
        <v>卫生健康</v>
      </c>
      <c r="W14" t="str">
        <f>'附件4 规划外'!D108</f>
        <v>建设内容包括门诊医技楼、病房楼配套附属设施等。</v>
      </c>
      <c r="X14">
        <f>'附件4 规划外'!E108</f>
        <v>7590.1</v>
      </c>
      <c r="Y14">
        <f>'附件4 规划外'!F108</f>
        <v>1373</v>
      </c>
      <c r="Z14">
        <f>'附件4 规划外'!G108</f>
        <v>4650</v>
      </c>
      <c r="AA14">
        <f>'附件4 规划外'!H108</f>
        <v>1567.1</v>
      </c>
      <c r="AB14" t="str">
        <f>'附件4 规划外'!I108</f>
        <v>在建</v>
      </c>
      <c r="AC14">
        <f>'附件4 规划外'!J108</f>
        <v>5903</v>
      </c>
      <c r="AD14">
        <f>'附件4 规划外'!K108</f>
        <v>4530</v>
      </c>
      <c r="AE14" t="str">
        <f>'附件4 规划外'!L108</f>
        <v>人防停车场建设基本完工，室外路面完成硬化，污水处理项目竣工结算已上报财政局评审，电梯安装完工，精装修大包工程招标控制价初审结果财政局已出，目前正在进行核对。</v>
      </c>
      <c r="AF14" s="26">
        <f>'附件4 规划外'!M108</f>
        <v>44470</v>
      </c>
      <c r="AG14" s="26">
        <f>'附件4 规划外'!N108</f>
        <v>45078</v>
      </c>
      <c r="AH14" t="str">
        <f>'附件4 规划外'!O108</f>
        <v>市卫生健康委</v>
      </c>
      <c r="AI14" t="str">
        <f>'附件4 规划外'!P108</f>
        <v>市本级</v>
      </c>
      <c r="AJ14">
        <f>'附件4 规划外'!Q108</f>
        <v>0</v>
      </c>
      <c r="AK14">
        <f>'附件4 规划外'!R108</f>
        <v>0</v>
      </c>
    </row>
    <row r="15" spans="1:37">
      <c r="A15">
        <f>'附件3 规划内'!A249</f>
        <v>230</v>
      </c>
      <c r="B15" t="str">
        <f>'附件3 规划内'!B249</f>
        <v>开封市妇幼保健院灾后恢复重建项目</v>
      </c>
      <c r="C15" t="str">
        <f>'附件3 规划内'!C249</f>
        <v>卫生健康</v>
      </c>
      <c r="D15" t="str">
        <f>'附件3 规划内'!D249</f>
        <v>老院区水毁防水工程修复1650㎡；被水浸泡的医用护墙板及木地板进行更换，强电箱、弱电箱、平板灯更换，修复老院区塌陷的排水管沟。</v>
      </c>
      <c r="E15">
        <f>'附件3 规划内'!E249</f>
        <v>150</v>
      </c>
      <c r="F15">
        <f>'附件3 规划内'!F249</f>
        <v>150</v>
      </c>
      <c r="G15">
        <f>'附件3 规划内'!G249</f>
        <v>0</v>
      </c>
      <c r="H15">
        <f>'附件3 规划内'!H249</f>
        <v>0</v>
      </c>
      <c r="I15" t="str">
        <f>'附件3 规划内'!I249</f>
        <v>完工</v>
      </c>
      <c r="J15">
        <f>'附件3 规划内'!J249</f>
        <v>150</v>
      </c>
      <c r="K15" t="str">
        <f>'附件3 规划内'!K249</f>
        <v/>
      </c>
      <c r="L15">
        <f>'附件3 规划内'!L249</f>
        <v>0</v>
      </c>
      <c r="M15" s="26">
        <f>'附件3 规划内'!M249</f>
        <v>44470</v>
      </c>
      <c r="N15" s="26">
        <f>'附件3 规划内'!N249</f>
        <v>44531</v>
      </c>
      <c r="O15" t="str">
        <f>'附件3 规划内'!O249</f>
        <v>市卫生健康委</v>
      </c>
      <c r="P15" t="str">
        <f>'附件3 规划内'!P249</f>
        <v>市本级</v>
      </c>
      <c r="Q15">
        <f>'附件3 规划内'!Q249</f>
        <v>0</v>
      </c>
      <c r="R15" t="str">
        <f>'附件3 规划内'!R249</f>
        <v>2021年已完工</v>
      </c>
      <c r="T15">
        <f>'附件4 规划外'!A109</f>
        <v>122</v>
      </c>
      <c r="U15" t="str">
        <f>'附件4 规划外'!B109</f>
        <v>开封市中心医院眼病区域医疗中心建设项目</v>
      </c>
      <c r="V15" t="str">
        <f>'附件4 规划外'!C109</f>
        <v>卫生健康</v>
      </c>
      <c r="W15" t="str">
        <f>'附件4 规划外'!D109</f>
        <v>项目建设内容包括设备采购、层流手术室和消毒供应中心设备设施建设及诊疗服务网络中心建设等。</v>
      </c>
      <c r="X15">
        <f>'附件4 规划外'!E109</f>
        <v>4660</v>
      </c>
      <c r="Y15">
        <f>'附件4 规划外'!F109</f>
        <v>3238.46</v>
      </c>
      <c r="Z15">
        <f>'附件4 规划外'!G109</f>
        <v>1421.54</v>
      </c>
      <c r="AA15">
        <f>'附件4 规划外'!H109</f>
        <v>0</v>
      </c>
      <c r="AB15" t="str">
        <f>'附件4 规划外'!I109</f>
        <v>完工</v>
      </c>
      <c r="AC15">
        <f>'附件4 规划外'!J109</f>
        <v>4660</v>
      </c>
      <c r="AD15">
        <f>'附件4 规划外'!K109</f>
        <v>1421.54</v>
      </c>
      <c r="AE15" t="str">
        <f>'附件4 规划外'!L109</f>
        <v>部分设备已完成招标采购，投入使用；消毒供应中心已完成建设，投入使用；层流手术室及网络信息化正在建设中。</v>
      </c>
      <c r="AF15" s="26">
        <f>'附件4 规划外'!M109</f>
        <v>43617</v>
      </c>
      <c r="AG15" s="26">
        <f>'附件4 规划外'!N109</f>
        <v>44896</v>
      </c>
      <c r="AH15" t="str">
        <f>'附件4 规划外'!O109</f>
        <v>市卫生健康委</v>
      </c>
      <c r="AI15" t="str">
        <f>'附件4 规划外'!P109</f>
        <v>市本级</v>
      </c>
      <c r="AJ15">
        <f>'附件4 规划外'!Q109</f>
        <v>0</v>
      </c>
      <c r="AK15">
        <f>'附件4 规划外'!R109</f>
        <v>0</v>
      </c>
    </row>
    <row r="16" spans="1:37">
      <c r="A16">
        <f>'附件3 规划内'!A250</f>
        <v>231</v>
      </c>
      <c r="B16" t="str">
        <f>'附件3 规划内'!B250</f>
        <v>开封市人民医院灾后恢复重建项目</v>
      </c>
      <c r="C16" t="str">
        <f>'附件3 规划内'!C250</f>
        <v>卫生健康</v>
      </c>
      <c r="D16" t="str">
        <f>'附件3 规划内'!D250</f>
        <v>重建或恢复屋顶约1000㎡，外墙约2000㎡。</v>
      </c>
      <c r="E16">
        <f>'附件3 规划内'!E250</f>
        <v>150</v>
      </c>
      <c r="F16">
        <f>'附件3 规划内'!F250</f>
        <v>150</v>
      </c>
      <c r="G16">
        <f>'附件3 规划内'!G250</f>
        <v>0</v>
      </c>
      <c r="H16">
        <f>'附件3 规划内'!H250</f>
        <v>0</v>
      </c>
      <c r="I16" t="str">
        <f>'附件3 规划内'!I250</f>
        <v>完工</v>
      </c>
      <c r="J16">
        <f>'附件3 规划内'!J250</f>
        <v>150</v>
      </c>
      <c r="K16" t="str">
        <f>'附件3 规划内'!K250</f>
        <v/>
      </c>
      <c r="L16">
        <f>'附件3 规划内'!L250</f>
        <v>0</v>
      </c>
      <c r="M16" s="26">
        <f>'附件3 规划内'!M250</f>
        <v>44470</v>
      </c>
      <c r="N16" s="26">
        <f>'附件3 规划内'!N250</f>
        <v>44531</v>
      </c>
      <c r="O16" t="str">
        <f>'附件3 规划内'!O250</f>
        <v>市卫生健康委</v>
      </c>
      <c r="P16" t="str">
        <f>'附件3 规划内'!P250</f>
        <v>市本级</v>
      </c>
      <c r="Q16">
        <f>'附件3 规划内'!Q250</f>
        <v>0</v>
      </c>
      <c r="R16" t="str">
        <f>'附件3 规划内'!R250</f>
        <v>2021年已完工</v>
      </c>
      <c r="T16">
        <f>'附件4 规划外'!A110</f>
        <v>123</v>
      </c>
      <c r="U16" t="str">
        <f>'附件4 规划外'!B110</f>
        <v>开封市人民医院皮肤病区域医疗中心建设项目</v>
      </c>
      <c r="V16" t="str">
        <f>'附件4 规划外'!C110</f>
        <v>卫生健康</v>
      </c>
      <c r="W16" t="str">
        <f>'附件4 规划外'!D110</f>
        <v>建设内容包括皮肤影像与诊断设备、皮肤病治疗设备、病理科相关设备、皮肤重症医学设备的采购及安装等。</v>
      </c>
      <c r="X16">
        <f>'附件4 规划外'!E110</f>
        <v>3273</v>
      </c>
      <c r="Y16">
        <f>'附件4 规划外'!F110</f>
        <v>1000</v>
      </c>
      <c r="Z16">
        <f>'附件4 规划外'!G110</f>
        <v>2273</v>
      </c>
      <c r="AA16">
        <f>'附件4 规划外'!H110</f>
        <v>0</v>
      </c>
      <c r="AB16" t="str">
        <f>'附件4 规划外'!I110</f>
        <v>在建</v>
      </c>
      <c r="AC16">
        <f>'附件4 规划外'!J110</f>
        <v>3200</v>
      </c>
      <c r="AD16">
        <f>'附件4 规划外'!K110</f>
        <v>2200</v>
      </c>
      <c r="AE16" t="str">
        <f>'附件4 规划外'!L110</f>
        <v>荧光显微镜、呼吸机、彩色多普勒超声诊断仪已安装完毕，符合付款条件的正在办理付款手续。其余设备仍在运输过程中。</v>
      </c>
      <c r="AF16" s="26" t="str">
        <f>'附件4 规划外'!M110</f>
        <v>2021年5月</v>
      </c>
      <c r="AG16" s="26">
        <f>'附件4 规划外'!N110</f>
        <v>44926</v>
      </c>
      <c r="AH16" t="str">
        <f>'附件4 规划外'!O110</f>
        <v>市卫生健康委</v>
      </c>
      <c r="AI16" t="str">
        <f>'附件4 规划外'!P110</f>
        <v>市本级</v>
      </c>
      <c r="AJ16">
        <f>'附件4 规划外'!Q110</f>
        <v>0</v>
      </c>
      <c r="AK16">
        <f>'附件4 规划外'!R110</f>
        <v>0</v>
      </c>
    </row>
    <row r="17" spans="1:18">
      <c r="A17">
        <f>'附件3 规划内'!A251</f>
        <v>232</v>
      </c>
      <c r="B17" t="str">
        <f>'附件3 规划内'!B251</f>
        <v>开封市儿童医院损毁重建项目</v>
      </c>
      <c r="C17" t="str">
        <f>'附件3 规划内'!C251</f>
        <v>卫生健康</v>
      </c>
      <c r="D17" t="str">
        <f>'附件3 规划内'!D251</f>
        <v>楼体加固总建筑面积10518㎡，坡道断裂修建面积180㎡，屋顶漏水维修面积1181㎡。</v>
      </c>
      <c r="E17">
        <f>'附件3 规划内'!E251</f>
        <v>150</v>
      </c>
      <c r="F17">
        <f>'附件3 规划内'!F251</f>
        <v>150</v>
      </c>
      <c r="G17">
        <f>'附件3 规划内'!G251</f>
        <v>0</v>
      </c>
      <c r="H17">
        <f>'附件3 规划内'!H251</f>
        <v>0</v>
      </c>
      <c r="I17" t="str">
        <f>'附件3 规划内'!I251</f>
        <v>完工</v>
      </c>
      <c r="J17">
        <f>'附件3 规划内'!J251</f>
        <v>150</v>
      </c>
      <c r="K17" t="str">
        <f>'附件3 规划内'!K251</f>
        <v/>
      </c>
      <c r="L17">
        <f>'附件3 规划内'!L251</f>
        <v>0</v>
      </c>
      <c r="M17" s="26">
        <f>'附件3 规划内'!M251</f>
        <v>44470</v>
      </c>
      <c r="N17" s="26">
        <f>'附件3 规划内'!N251</f>
        <v>44531</v>
      </c>
      <c r="O17" t="str">
        <f>'附件3 规划内'!O251</f>
        <v>市卫生健康委</v>
      </c>
      <c r="P17" t="str">
        <f>'附件3 规划内'!P251</f>
        <v>市本级</v>
      </c>
      <c r="Q17">
        <f>'附件3 规划内'!Q251</f>
        <v>0</v>
      </c>
      <c r="R17" t="str">
        <f>'附件3 规划内'!R251</f>
        <v>2021年已完工</v>
      </c>
    </row>
  </sheetData>
  <sheetProtection sheet="1" formatCells="0" formatColumns="0" formatRows="0" sort="0" autoFilter="0" objects="1" scenarios="1"/>
  <autoFilter ref="A6:R17">
    <extLst/>
  </autoFilter>
  <mergeCells count="5">
    <mergeCell ref="A1:G1"/>
    <mergeCell ref="H1:N1"/>
    <mergeCell ref="O1:U1"/>
    <mergeCell ref="A5:R5"/>
    <mergeCell ref="T5:AK5"/>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4"/>
  <sheetViews>
    <sheetView zoomScale="90" zoomScaleNormal="90" topLeftCell="B1" workbookViewId="0">
      <pane ySplit="6" topLeftCell="A7" activePane="bottomLeft" state="frozen"/>
      <selection/>
      <selection pane="bottomLeft" activeCell="Q16" sqref="Q16"/>
    </sheetView>
  </sheetViews>
  <sheetFormatPr defaultColWidth="9" defaultRowHeight="13.5"/>
  <cols>
    <col min="5" max="6" width="9.36666666666667"/>
    <col min="10" max="10" width="9.36666666666667"/>
  </cols>
  <sheetData>
    <row r="1" s="30" customFormat="1" ht="14.15" customHeight="1" spans="1:21">
      <c r="A1" s="2" t="s">
        <v>1257</v>
      </c>
      <c r="B1" s="3"/>
      <c r="C1" s="3"/>
      <c r="D1" s="3"/>
      <c r="E1" s="3"/>
      <c r="F1" s="3"/>
      <c r="G1" s="4"/>
      <c r="H1" s="5" t="s">
        <v>1258</v>
      </c>
      <c r="I1" s="5"/>
      <c r="J1" s="5"/>
      <c r="K1" s="5"/>
      <c r="L1" s="5"/>
      <c r="M1" s="5"/>
      <c r="N1" s="5"/>
      <c r="O1" s="16" t="s">
        <v>1259</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8</v>
      </c>
      <c r="C3" s="10">
        <f t="shared" ref="C3:F4" si="0">J3+Q3</f>
        <v>3989.8789</v>
      </c>
      <c r="D3" s="10">
        <f t="shared" si="0"/>
        <v>8</v>
      </c>
      <c r="E3" s="10">
        <f t="shared" si="0"/>
        <v>8</v>
      </c>
      <c r="F3" s="10">
        <f t="shared" si="0"/>
        <v>3989.8789</v>
      </c>
      <c r="G3" s="11">
        <f>IF(C3=0,"-",ROUND(F3/C3,3))</f>
        <v>1</v>
      </c>
      <c r="H3" s="8" t="s">
        <v>1146</v>
      </c>
      <c r="I3" s="17">
        <f>COUNT(E7:E122)</f>
        <v>8</v>
      </c>
      <c r="J3" s="21">
        <f>SUM(E7:E122)</f>
        <v>3989.8789</v>
      </c>
      <c r="K3" s="21">
        <f>COUNTIF(I7:I122,"在建")+COUNTIF(I7:I122,"完工")</f>
        <v>8</v>
      </c>
      <c r="L3" s="21">
        <f>COUNTIF(I7:I122,"完工")</f>
        <v>8</v>
      </c>
      <c r="M3" s="17">
        <f>SUM(J7:J122)</f>
        <v>3989.8789</v>
      </c>
      <c r="N3" s="22">
        <f>IF(J3=0,"-",ROUND(M3/J3,3))</f>
        <v>1</v>
      </c>
      <c r="O3" s="19" t="s">
        <v>1146</v>
      </c>
      <c r="P3" s="20">
        <f>COUNT(X7:X122)</f>
        <v>0</v>
      </c>
      <c r="Q3" s="24">
        <f>SUM(X7:X122)</f>
        <v>0</v>
      </c>
      <c r="R3" s="24">
        <f>COUNTIF(AB7:AB122,"在建")+COUNTIF(AB7:AB122,"完工")</f>
        <v>0</v>
      </c>
      <c r="S3" s="24">
        <f>COUNTIF(AB7:AB122,"完工")</f>
        <v>0</v>
      </c>
      <c r="T3" s="20">
        <f>SUM(AC7:AC122)</f>
        <v>0</v>
      </c>
      <c r="U3" s="25" t="str">
        <f>IF(Q3=0,"-",ROUND(T3/Q3,3))</f>
        <v>-</v>
      </c>
    </row>
    <row r="4" s="1" customFormat="1" ht="27" spans="1:21">
      <c r="A4" s="9" t="s">
        <v>1147</v>
      </c>
      <c r="B4" s="10">
        <f>I4+P4</f>
        <v>1</v>
      </c>
      <c r="C4" s="10">
        <f t="shared" si="0"/>
        <v>743</v>
      </c>
      <c r="D4" s="10">
        <f t="shared" si="0"/>
        <v>1</v>
      </c>
      <c r="E4" s="10">
        <f t="shared" si="0"/>
        <v>1</v>
      </c>
      <c r="F4" s="10">
        <f t="shared" si="0"/>
        <v>743</v>
      </c>
      <c r="G4" s="12">
        <f>IF(C4=0,"-",ROUND(F4/C4,3))</f>
        <v>1</v>
      </c>
      <c r="H4" s="8" t="s">
        <v>1148</v>
      </c>
      <c r="I4" s="17">
        <f>COUNTIF(G7:G122,"&gt;0")</f>
        <v>1</v>
      </c>
      <c r="J4" s="21">
        <f>SUM(G7:G122)</f>
        <v>743</v>
      </c>
      <c r="K4" s="21">
        <f>COUNTIFS(G7:G122,"&gt;0",I7:I122,"完工")+COUNTIFS(G7:G122,"&gt;0",I7:I122,"在建")</f>
        <v>1</v>
      </c>
      <c r="L4" s="21">
        <f>COUNTIFS(G7:G122,"&gt;0",I7:I122,"完工")</f>
        <v>1</v>
      </c>
      <c r="M4" s="17">
        <f>SUM(K7:K122)</f>
        <v>743</v>
      </c>
      <c r="N4" s="22">
        <f>IF(J4=0,"-",ROUND(M4/J4,3))</f>
        <v>1</v>
      </c>
      <c r="O4" s="19" t="s">
        <v>1148</v>
      </c>
      <c r="P4" s="20">
        <f>COUNTIF(Z7:Z122,"&gt;0")</f>
        <v>0</v>
      </c>
      <c r="Q4" s="24">
        <f>SUM(Z7:Z122)</f>
        <v>0</v>
      </c>
      <c r="R4" s="24">
        <f>COUNTIFS(Z7:Z122,"&gt;0",AB7:AB122,"完工")+COUNTIFS(Z7:Z122,"&gt;0",AB7:AB122,"在建")</f>
        <v>0</v>
      </c>
      <c r="S4" s="24">
        <f>COUNTIFS(Z7:Z122,"&gt;0",AB7:AB122,"完工")</f>
        <v>0</v>
      </c>
      <c r="T4" s="20">
        <f>SUM(AD7:AD122)</f>
        <v>0</v>
      </c>
      <c r="U4" s="25" t="str">
        <f>IF(Q4=0,"-",ROUND(T4/Q4,3))</f>
        <v>-</v>
      </c>
    </row>
    <row r="5" s="1" customFormat="1" spans="1:37">
      <c r="A5" s="13" t="s">
        <v>1260</v>
      </c>
      <c r="B5" s="14"/>
      <c r="C5" s="14"/>
      <c r="D5" s="14"/>
      <c r="E5" s="14"/>
      <c r="F5" s="14"/>
      <c r="G5" s="14"/>
      <c r="H5" s="14"/>
      <c r="I5" s="14"/>
      <c r="J5" s="14"/>
      <c r="K5" s="14"/>
      <c r="L5" s="14"/>
      <c r="M5" s="14"/>
      <c r="N5" s="14"/>
      <c r="O5" s="14"/>
      <c r="P5" s="14"/>
      <c r="Q5" s="14"/>
      <c r="R5" s="14"/>
      <c r="T5" s="13" t="s">
        <v>1261</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1" customFormat="1" spans="1:18">
      <c r="A7" s="32">
        <f>'附件3 规划内'!A2</f>
        <v>1</v>
      </c>
      <c r="B7" s="32" t="str">
        <f>'附件3 规划内'!B2</f>
        <v>杞县村民住房重建</v>
      </c>
      <c r="C7" s="32" t="str">
        <f>'附件3 规划内'!C2</f>
        <v>城乡住房</v>
      </c>
      <c r="D7" s="32" t="str">
        <f>'附件3 规划内'!D2</f>
        <v>修缮加固55户、原址重建183户</v>
      </c>
      <c r="E7" s="32">
        <f>'附件3 规划内'!E2</f>
        <v>843.64</v>
      </c>
      <c r="F7" s="32">
        <f>'附件3 规划内'!F2</f>
        <v>843.64</v>
      </c>
      <c r="G7" s="32">
        <f>'附件3 规划内'!G2</f>
        <v>0</v>
      </c>
      <c r="H7" s="32">
        <f>'附件3 规划内'!H2</f>
        <v>0</v>
      </c>
      <c r="I7" s="32" t="str">
        <f>'附件3 规划内'!I2</f>
        <v>完工</v>
      </c>
      <c r="J7" s="32">
        <f>'附件3 规划内'!J2</f>
        <v>843.64</v>
      </c>
      <c r="K7" s="32" t="str">
        <f>'附件3 规划内'!K2</f>
        <v/>
      </c>
      <c r="L7" s="32">
        <f>'附件3 规划内'!L2</f>
        <v>0</v>
      </c>
      <c r="M7" s="32">
        <f>'附件3 规划内'!M2</f>
        <v>0</v>
      </c>
      <c r="N7" s="32">
        <f>'附件3 规划内'!N2</f>
        <v>0</v>
      </c>
      <c r="O7" s="32" t="str">
        <f>'附件3 规划内'!O2</f>
        <v>市住房城乡建设局</v>
      </c>
      <c r="P7" s="32" t="str">
        <f>'附件3 规划内'!P2</f>
        <v>杞县</v>
      </c>
      <c r="Q7" s="32">
        <f>'附件3 规划内'!Q2</f>
        <v>0</v>
      </c>
      <c r="R7" s="32">
        <f>'附件3 规划内'!R2</f>
        <v>0</v>
      </c>
    </row>
    <row r="8" s="1" customFormat="1" spans="1:18">
      <c r="A8" s="32">
        <f>'附件3 规划内'!A3</f>
        <v>2</v>
      </c>
      <c r="B8" s="32" t="str">
        <f>'附件3 规划内'!B3</f>
        <v>通许县村民住房重建</v>
      </c>
      <c r="C8" s="32" t="str">
        <f>'附件3 规划内'!C3</f>
        <v>城乡住房</v>
      </c>
      <c r="D8" s="32" t="str">
        <f>'附件3 规划内'!D3</f>
        <v>修缮加固255户、原址重建77户</v>
      </c>
      <c r="E8" s="32">
        <f>'附件3 规划内'!E3</f>
        <v>379.4</v>
      </c>
      <c r="F8" s="32">
        <f>'附件3 规划内'!F3</f>
        <v>379.4</v>
      </c>
      <c r="G8" s="32">
        <f>'附件3 规划内'!G3</f>
        <v>0</v>
      </c>
      <c r="H8" s="32">
        <f>'附件3 规划内'!H3</f>
        <v>0</v>
      </c>
      <c r="I8" s="32" t="str">
        <f>'附件3 规划内'!I3</f>
        <v>完工</v>
      </c>
      <c r="J8" s="32">
        <f>'附件3 规划内'!J3</f>
        <v>379.4</v>
      </c>
      <c r="K8" s="32" t="str">
        <f>'附件3 规划内'!K3</f>
        <v/>
      </c>
      <c r="L8" s="32">
        <f>'附件3 规划内'!L3</f>
        <v>0</v>
      </c>
      <c r="M8" s="32">
        <f>'附件3 规划内'!M3</f>
        <v>0</v>
      </c>
      <c r="N8" s="32">
        <f>'附件3 规划内'!N3</f>
        <v>0</v>
      </c>
      <c r="O8" s="32" t="str">
        <f>'附件3 规划内'!O3</f>
        <v>市住房城乡建设局</v>
      </c>
      <c r="P8" s="32" t="str">
        <f>'附件3 规划内'!P3</f>
        <v>通许县</v>
      </c>
      <c r="Q8" s="32">
        <f>'附件3 规划内'!Q3</f>
        <v>0</v>
      </c>
      <c r="R8" s="32">
        <f>'附件3 规划内'!R3</f>
        <v>0</v>
      </c>
    </row>
    <row r="9" s="1" customFormat="1" spans="1:18">
      <c r="A9" s="32">
        <f>'附件3 规划内'!A4</f>
        <v>3</v>
      </c>
      <c r="B9" s="32" t="str">
        <f>'附件3 规划内'!B4</f>
        <v>尉氏县村民住房重建</v>
      </c>
      <c r="C9" s="32" t="str">
        <f>'附件3 规划内'!C4</f>
        <v>城乡住房</v>
      </c>
      <c r="D9" s="32" t="str">
        <f>'附件3 规划内'!D4</f>
        <v>修缮加固3544户、原址重建205户</v>
      </c>
      <c r="E9" s="32">
        <f>'附件3 规划内'!E4</f>
        <v>2442.6</v>
      </c>
      <c r="F9" s="32">
        <f>'附件3 规划内'!F4</f>
        <v>1699.6</v>
      </c>
      <c r="G9" s="32">
        <f>'附件3 规划内'!G4</f>
        <v>743</v>
      </c>
      <c r="H9" s="32">
        <f>'附件3 规划内'!H4</f>
        <v>0</v>
      </c>
      <c r="I9" s="32" t="str">
        <f>'附件3 规划内'!I4</f>
        <v>完工</v>
      </c>
      <c r="J9" s="32">
        <f>'附件3 规划内'!J4</f>
        <v>2442.6</v>
      </c>
      <c r="K9" s="32">
        <f>'附件3 规划内'!K4</f>
        <v>743</v>
      </c>
      <c r="L9" s="32">
        <f>'附件3 规划内'!L4</f>
        <v>0</v>
      </c>
      <c r="M9" s="32">
        <f>'附件3 规划内'!M4</f>
        <v>0</v>
      </c>
      <c r="N9" s="32">
        <f>'附件3 规划内'!N4</f>
        <v>0</v>
      </c>
      <c r="O9" s="32" t="str">
        <f>'附件3 规划内'!O4</f>
        <v>市住房城乡建设局</v>
      </c>
      <c r="P9" s="32" t="str">
        <f>'附件3 规划内'!P4</f>
        <v>尉氏县</v>
      </c>
      <c r="Q9" s="32">
        <f>'附件3 规划内'!Q4</f>
        <v>0</v>
      </c>
      <c r="R9" s="32">
        <f>'附件3 规划内'!R4</f>
        <v>0</v>
      </c>
    </row>
    <row r="10" s="1" customFormat="1" spans="1:18">
      <c r="A10" s="32">
        <f>'附件3 规划内'!A5</f>
        <v>4</v>
      </c>
      <c r="B10" s="32" t="str">
        <f>'附件3 规划内'!B5</f>
        <v>祥符区村民住房重建</v>
      </c>
      <c r="C10" s="32" t="str">
        <f>'附件3 规划内'!C5</f>
        <v>城乡住房</v>
      </c>
      <c r="D10" s="32" t="str">
        <f>'附件3 规划内'!D5</f>
        <v>修缮加固88户、原址重建76户</v>
      </c>
      <c r="E10" s="32">
        <f>'附件3 规划内'!E5</f>
        <v>219.0049</v>
      </c>
      <c r="F10" s="32">
        <f>'附件3 规划内'!F5</f>
        <v>219.0049</v>
      </c>
      <c r="G10" s="32">
        <f>'附件3 规划内'!G5</f>
        <v>0</v>
      </c>
      <c r="H10" s="32">
        <f>'附件3 规划内'!H5</f>
        <v>0</v>
      </c>
      <c r="I10" s="32" t="str">
        <f>'附件3 规划内'!I5</f>
        <v>完工</v>
      </c>
      <c r="J10" s="32">
        <f>'附件3 规划内'!J5</f>
        <v>219.0049</v>
      </c>
      <c r="K10" s="32" t="str">
        <f>'附件3 规划内'!K5</f>
        <v/>
      </c>
      <c r="L10" s="32">
        <f>'附件3 规划内'!L5</f>
        <v>0</v>
      </c>
      <c r="M10" s="32">
        <f>'附件3 规划内'!M5</f>
        <v>0</v>
      </c>
      <c r="N10" s="32">
        <f>'附件3 规划内'!N5</f>
        <v>0</v>
      </c>
      <c r="O10" s="32" t="str">
        <f>'附件3 规划内'!O5</f>
        <v>市住房城乡建设局</v>
      </c>
      <c r="P10" s="32" t="str">
        <f>'附件3 规划内'!P5</f>
        <v>祥符区</v>
      </c>
      <c r="Q10" s="32">
        <f>'附件3 规划内'!Q5</f>
        <v>0</v>
      </c>
      <c r="R10" s="32">
        <f>'附件3 规划内'!R5</f>
        <v>0</v>
      </c>
    </row>
    <row r="11" s="1" customFormat="1" spans="1:18">
      <c r="A11" s="32">
        <f>'附件3 规划内'!A6</f>
        <v>5</v>
      </c>
      <c r="B11" s="32" t="str">
        <f>'附件3 规划内'!B6</f>
        <v>禹王台区村民住房重建</v>
      </c>
      <c r="C11" s="32" t="str">
        <f>'附件3 规划内'!C6</f>
        <v>城乡住房</v>
      </c>
      <c r="D11" s="32" t="str">
        <f>'附件3 规划内'!D6</f>
        <v>修缮加固2户、原址重建1户、</v>
      </c>
      <c r="E11" s="32">
        <f>'附件3 规划内'!E6</f>
        <v>2.7</v>
      </c>
      <c r="F11" s="32">
        <f>'附件3 规划内'!F6</f>
        <v>2.7</v>
      </c>
      <c r="G11" s="32">
        <f>'附件3 规划内'!G6</f>
        <v>0</v>
      </c>
      <c r="H11" s="32">
        <f>'附件3 规划内'!H6</f>
        <v>0</v>
      </c>
      <c r="I11" s="32" t="str">
        <f>'附件3 规划内'!I6</f>
        <v>完工</v>
      </c>
      <c r="J11" s="32">
        <f>'附件3 规划内'!J6</f>
        <v>2.7</v>
      </c>
      <c r="K11" s="32" t="str">
        <f>'附件3 规划内'!K6</f>
        <v/>
      </c>
      <c r="L11" s="32">
        <f>'附件3 规划内'!L6</f>
        <v>0</v>
      </c>
      <c r="M11" s="32">
        <f>'附件3 规划内'!M6</f>
        <v>0</v>
      </c>
      <c r="N11" s="32">
        <f>'附件3 规划内'!N6</f>
        <v>0</v>
      </c>
      <c r="O11" s="32" t="str">
        <f>'附件3 规划内'!O6</f>
        <v>市住房城乡建设局</v>
      </c>
      <c r="P11" s="32" t="str">
        <f>'附件3 规划内'!P6</f>
        <v>禹王台区</v>
      </c>
      <c r="Q11" s="32">
        <f>'附件3 规划内'!Q6</f>
        <v>0</v>
      </c>
      <c r="R11" s="32">
        <f>'附件3 规划内'!R6</f>
        <v>0</v>
      </c>
    </row>
    <row r="12" s="1" customFormat="1" spans="1:18">
      <c r="A12" s="32">
        <f>'附件3 规划内'!A7</f>
        <v>6</v>
      </c>
      <c r="B12" s="32" t="str">
        <f>'附件3 规划内'!B7</f>
        <v>顺河回族区村民住房重建</v>
      </c>
      <c r="C12" s="32" t="str">
        <f>'附件3 规划内'!C7</f>
        <v>城乡住房</v>
      </c>
      <c r="D12" s="32" t="str">
        <f>'附件3 规划内'!D7</f>
        <v>原址重建19户</v>
      </c>
      <c r="E12" s="32">
        <f>'附件3 规划内'!E7</f>
        <v>76</v>
      </c>
      <c r="F12" s="32">
        <f>'附件3 规划内'!F7</f>
        <v>76</v>
      </c>
      <c r="G12" s="32">
        <f>'附件3 规划内'!G7</f>
        <v>0</v>
      </c>
      <c r="H12" s="32">
        <f>'附件3 规划内'!H7</f>
        <v>0</v>
      </c>
      <c r="I12" s="32" t="str">
        <f>'附件3 规划内'!I7</f>
        <v>完工</v>
      </c>
      <c r="J12" s="32">
        <f>'附件3 规划内'!J7</f>
        <v>76</v>
      </c>
      <c r="K12" s="32" t="str">
        <f>'附件3 规划内'!K7</f>
        <v/>
      </c>
      <c r="L12" s="32">
        <f>'附件3 规划内'!L7</f>
        <v>0</v>
      </c>
      <c r="M12" s="32">
        <f>'附件3 规划内'!M7</f>
        <v>0</v>
      </c>
      <c r="N12" s="32">
        <f>'附件3 规划内'!N7</f>
        <v>0</v>
      </c>
      <c r="O12" s="32" t="str">
        <f>'附件3 规划内'!O7</f>
        <v>市住房城乡建设局</v>
      </c>
      <c r="P12" s="32" t="str">
        <f>'附件3 规划内'!P7</f>
        <v>顺河回族区</v>
      </c>
      <c r="Q12" s="32">
        <f>'附件3 规划内'!Q7</f>
        <v>0</v>
      </c>
      <c r="R12" s="32">
        <f>'附件3 规划内'!R7</f>
        <v>0</v>
      </c>
    </row>
    <row r="13" s="1" customFormat="1" spans="1:18">
      <c r="A13" s="32">
        <f>'附件3 规划内'!A8</f>
        <v>7</v>
      </c>
      <c r="B13" s="32" t="str">
        <f>'附件3 规划内'!B8</f>
        <v>龙亭区城镇居民住房恢复重建</v>
      </c>
      <c r="C13" s="32" t="str">
        <f>'附件3 规划内'!C8</f>
        <v>城乡住房</v>
      </c>
      <c r="D13" s="32" t="str">
        <f>'附件3 规划内'!D8</f>
        <v>修缮加固38户、原址重建1户</v>
      </c>
      <c r="E13" s="32">
        <f>'附件3 规划内'!E8</f>
        <v>17.934</v>
      </c>
      <c r="F13" s="32">
        <f>'附件3 规划内'!F8</f>
        <v>17.934</v>
      </c>
      <c r="G13" s="32">
        <f>'附件3 规划内'!G8</f>
        <v>0</v>
      </c>
      <c r="H13" s="32">
        <f>'附件3 规划内'!H8</f>
        <v>0</v>
      </c>
      <c r="I13" s="32" t="str">
        <f>'附件3 规划内'!I8</f>
        <v>完工</v>
      </c>
      <c r="J13" s="32">
        <f>'附件3 规划内'!J8</f>
        <v>17.934</v>
      </c>
      <c r="K13" s="32" t="str">
        <f>'附件3 规划内'!K8</f>
        <v/>
      </c>
      <c r="L13" s="32">
        <f>'附件3 规划内'!L8</f>
        <v>0</v>
      </c>
      <c r="M13" s="32">
        <f>'附件3 规划内'!M8</f>
        <v>0</v>
      </c>
      <c r="N13" s="32">
        <f>'附件3 规划内'!N8</f>
        <v>0</v>
      </c>
      <c r="O13" s="32" t="str">
        <f>'附件3 规划内'!O8</f>
        <v>市住房城乡建设局</v>
      </c>
      <c r="P13" s="32" t="str">
        <f>'附件3 规划内'!P8</f>
        <v>龙亭区</v>
      </c>
      <c r="Q13" s="32">
        <f>'附件3 规划内'!Q8</f>
        <v>0</v>
      </c>
      <c r="R13" s="32">
        <f>'附件3 规划内'!R8</f>
        <v>0</v>
      </c>
    </row>
    <row r="14" s="1" customFormat="1" customHeight="1" spans="1:18">
      <c r="A14" s="32">
        <f>'附件3 规划内'!A9</f>
        <v>8</v>
      </c>
      <c r="B14" s="32" t="str">
        <f>'附件3 规划内'!B9</f>
        <v>禹王台区城镇居民住房恢复重建</v>
      </c>
      <c r="C14" s="32" t="str">
        <f>'附件3 规划内'!C9</f>
        <v>城乡住房</v>
      </c>
      <c r="D14" s="32" t="str">
        <f>'附件3 规划内'!D9</f>
        <v>修缮加固115户、原址重建200户</v>
      </c>
      <c r="E14" s="32">
        <f>'附件3 规划内'!E9</f>
        <v>8.6</v>
      </c>
      <c r="F14" s="32">
        <f>'附件3 规划内'!F9</f>
        <v>8.6</v>
      </c>
      <c r="G14" s="32">
        <f>'附件3 规划内'!G9</f>
        <v>0</v>
      </c>
      <c r="H14" s="32">
        <f>'附件3 规划内'!H9</f>
        <v>0</v>
      </c>
      <c r="I14" s="32" t="str">
        <f>'附件3 规划内'!I9</f>
        <v>完工</v>
      </c>
      <c r="J14" s="32">
        <f>'附件3 规划内'!J9</f>
        <v>8.6</v>
      </c>
      <c r="K14" s="32" t="str">
        <f>'附件3 规划内'!K9</f>
        <v/>
      </c>
      <c r="L14" s="32">
        <f>'附件3 规划内'!L9</f>
        <v>0</v>
      </c>
      <c r="M14" s="32">
        <f>'附件3 规划内'!M9</f>
        <v>0</v>
      </c>
      <c r="N14" s="32">
        <f>'附件3 规划内'!N9</f>
        <v>0</v>
      </c>
      <c r="O14" s="32" t="str">
        <f>'附件3 规划内'!O9</f>
        <v>市住房城乡建设局</v>
      </c>
      <c r="P14" s="32" t="str">
        <f>'附件3 规划内'!P9</f>
        <v>禹王台区</v>
      </c>
      <c r="Q14" s="32">
        <f>'附件3 规划内'!Q9</f>
        <v>0</v>
      </c>
      <c r="R14" s="32">
        <f>'附件3 规划内'!R9</f>
        <v>0</v>
      </c>
    </row>
  </sheetData>
  <sheetProtection sheet="1" formatCells="0" formatColumns="0" formatRows="0" sort="0" autoFilter="0" objects="1" scenarios="1"/>
  <autoFilter ref="A6:AK14">
    <extLst/>
  </autoFilter>
  <mergeCells count="5">
    <mergeCell ref="A1:G1"/>
    <mergeCell ref="H1:N1"/>
    <mergeCell ref="O1:U1"/>
    <mergeCell ref="A5:R5"/>
    <mergeCell ref="T5:AK5"/>
  </mergeCell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55"/>
  <sheetViews>
    <sheetView zoomScale="90" zoomScaleNormal="90" workbookViewId="0">
      <pane ySplit="6" topLeftCell="A7" activePane="bottomLeft" state="frozen"/>
      <selection/>
      <selection pane="bottomLeft" activeCell="Q16" sqref="Q16"/>
    </sheetView>
  </sheetViews>
  <sheetFormatPr defaultColWidth="9" defaultRowHeight="13.5"/>
  <cols>
    <col min="3" max="3" width="9.26666666666667" customWidth="1"/>
    <col min="6" max="6" width="9.45" customWidth="1"/>
    <col min="13" max="14" width="11.9083333333333" customWidth="1"/>
    <col min="20" max="20" width="9.63333333333333" customWidth="1"/>
    <col min="32" max="33" width="11.9083333333333" customWidth="1"/>
  </cols>
  <sheetData>
    <row r="1" s="30" customFormat="1" ht="14.15" customHeight="1" spans="1:21">
      <c r="A1" s="2" t="s">
        <v>1262</v>
      </c>
      <c r="B1" s="3"/>
      <c r="C1" s="3"/>
      <c r="D1" s="3"/>
      <c r="E1" s="3"/>
      <c r="F1" s="3"/>
      <c r="G1" s="4"/>
      <c r="H1" s="5" t="s">
        <v>1263</v>
      </c>
      <c r="I1" s="5"/>
      <c r="J1" s="5"/>
      <c r="K1" s="5"/>
      <c r="L1" s="5"/>
      <c r="M1" s="5"/>
      <c r="N1" s="5"/>
      <c r="O1" s="16" t="s">
        <v>1264</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50</v>
      </c>
      <c r="C3" s="10">
        <f t="shared" ref="C3:F4" si="0">J3+Q3</f>
        <v>638136.588</v>
      </c>
      <c r="D3" s="10">
        <f t="shared" si="0"/>
        <v>50</v>
      </c>
      <c r="E3" s="10">
        <f t="shared" si="0"/>
        <v>26</v>
      </c>
      <c r="F3" s="10">
        <f t="shared" si="0"/>
        <v>548427.388</v>
      </c>
      <c r="G3" s="11">
        <f>IF(C3=0,"-",ROUND(F3/C3,3))</f>
        <v>0.859</v>
      </c>
      <c r="H3" s="8" t="s">
        <v>1146</v>
      </c>
      <c r="I3" s="17">
        <f>COUNT(E7:E122)</f>
        <v>2</v>
      </c>
      <c r="J3" s="21">
        <f>SUM(E7:E122)</f>
        <v>7928</v>
      </c>
      <c r="K3" s="21">
        <f>COUNTIF(I7:I122,"在建")+COUNTIF(I7:I122,"完工")</f>
        <v>2</v>
      </c>
      <c r="L3" s="21">
        <f>COUNTIF(I7:I122,"完工")</f>
        <v>2</v>
      </c>
      <c r="M3" s="17">
        <f>SUM(J7:J47)</f>
        <v>7928</v>
      </c>
      <c r="N3" s="22">
        <f>IF(J3=0,"-",ROUND(M3/J3,3))</f>
        <v>1</v>
      </c>
      <c r="O3" s="19" t="s">
        <v>1146</v>
      </c>
      <c r="P3" s="20">
        <f>COUNT(X7:X122)</f>
        <v>48</v>
      </c>
      <c r="Q3" s="24">
        <f>SUM(X7:X122)</f>
        <v>630208.588</v>
      </c>
      <c r="R3" s="24">
        <f>COUNTIF(AB7:AB122,"在建")+COUNTIF(AB7:AB122,"完工")</f>
        <v>48</v>
      </c>
      <c r="S3" s="24">
        <f>COUNTIF(AB7:AB122,"完工")</f>
        <v>24</v>
      </c>
      <c r="T3" s="20">
        <f>SUM(AC7:AC122)</f>
        <v>540499.388</v>
      </c>
      <c r="U3" s="25">
        <f>IF(Q3=0,"-",ROUND(T3/Q3,3))</f>
        <v>0.858</v>
      </c>
    </row>
    <row r="4" s="1" customFormat="1" ht="27" spans="1:21">
      <c r="A4" s="9" t="s">
        <v>1147</v>
      </c>
      <c r="B4" s="10">
        <f>I4+P4</f>
        <v>36</v>
      </c>
      <c r="C4" s="10">
        <f t="shared" si="0"/>
        <v>297017.188</v>
      </c>
      <c r="D4" s="10">
        <f t="shared" si="0"/>
        <v>36</v>
      </c>
      <c r="E4" s="10">
        <f t="shared" si="0"/>
        <v>12</v>
      </c>
      <c r="F4" s="10">
        <f t="shared" si="0"/>
        <v>302253.388</v>
      </c>
      <c r="G4" s="12">
        <f>IF(C4=0,"-",ROUND(F4/C4,3))</f>
        <v>1.018</v>
      </c>
      <c r="H4" s="8" t="s">
        <v>1148</v>
      </c>
      <c r="I4" s="17">
        <f>COUNTIF(G7:G122,"&gt;0")</f>
        <v>1</v>
      </c>
      <c r="J4" s="21">
        <f>SUM(G7:G122)</f>
        <v>4668</v>
      </c>
      <c r="K4" s="21">
        <f>COUNTIFS(G7:G122,"&gt;0",I7:I122,"完工")+COUNTIFS(G7:G122,"&gt;0",I7:I122,"在建")</f>
        <v>1</v>
      </c>
      <c r="L4" s="21">
        <f>COUNTIFS(G7:G122,"&gt;0",I7:I122,"完工")</f>
        <v>1</v>
      </c>
      <c r="M4" s="17">
        <f>SUM(K7:K122)</f>
        <v>4668</v>
      </c>
      <c r="N4" s="22">
        <f>IF(J4=0,"-",ROUND(M4/J4,3))</f>
        <v>1</v>
      </c>
      <c r="O4" s="19" t="s">
        <v>1148</v>
      </c>
      <c r="P4" s="20">
        <f>COUNTIF(Z7:Z122,"&gt;0")</f>
        <v>35</v>
      </c>
      <c r="Q4" s="24">
        <f>SUM(Z7:Z122)</f>
        <v>292349.188</v>
      </c>
      <c r="R4" s="24">
        <f>COUNTIFS(Z7:Z122,"&gt;0",AB7:AB122,"完工")+COUNTIFS(Z7:Z122,"&gt;0",AB7:AB122,"在建")</f>
        <v>35</v>
      </c>
      <c r="S4" s="24">
        <f>COUNTIFS(Z7:Z122,"&gt;0",AB7:AB122,"完工")</f>
        <v>11</v>
      </c>
      <c r="T4" s="20">
        <f>SUM(AD7:AD122)</f>
        <v>297585.388</v>
      </c>
      <c r="U4" s="25">
        <f>IF(Q4=0,"-",ROUND(T4/Q4,3))</f>
        <v>1.018</v>
      </c>
    </row>
    <row r="5" s="1" customFormat="1" spans="1:37">
      <c r="A5" s="13" t="s">
        <v>1265</v>
      </c>
      <c r="B5" s="14"/>
      <c r="C5" s="14"/>
      <c r="D5" s="14"/>
      <c r="E5" s="14"/>
      <c r="F5" s="14"/>
      <c r="G5" s="14"/>
      <c r="H5" s="14"/>
      <c r="I5" s="14"/>
      <c r="J5" s="14"/>
      <c r="K5" s="14"/>
      <c r="L5" s="14"/>
      <c r="M5" s="14"/>
      <c r="N5" s="14"/>
      <c r="O5" s="14"/>
      <c r="P5" s="14"/>
      <c r="Q5" s="14"/>
      <c r="R5" s="14"/>
      <c r="T5" s="13" t="s">
        <v>1266</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规划内'!A247</f>
        <v>228</v>
      </c>
      <c r="B7" t="str">
        <f>'附件3 规划内'!B247</f>
        <v>开封市市政公用设施洪涝灾害损毁修复工程</v>
      </c>
      <c r="C7" t="str">
        <f>'附件3 规划内'!C247</f>
        <v>市政</v>
      </c>
      <c r="D7" t="str">
        <f>'附件3 规划内'!D247</f>
        <v>仁和屯、东郊沟、包公湖、河池等10个泵站、6个闸门损坏更换，以及调蓄池、进水渠、出水口、污水管网和设备等损毁修复。</v>
      </c>
      <c r="E7">
        <f>'附件3 规划内'!E247</f>
        <v>3260</v>
      </c>
      <c r="F7">
        <f>'附件3 规划内'!F247</f>
        <v>3260</v>
      </c>
      <c r="G7">
        <f>'附件3 规划内'!G247</f>
        <v>0</v>
      </c>
      <c r="H7">
        <f>'附件3 规划内'!H247</f>
        <v>0</v>
      </c>
      <c r="I7" t="str">
        <f>'附件3 规划内'!I247</f>
        <v>完工</v>
      </c>
      <c r="J7">
        <f>'附件3 规划内'!J247</f>
        <v>3260</v>
      </c>
      <c r="K7" t="str">
        <f>'附件3 规划内'!K247</f>
        <v/>
      </c>
      <c r="L7">
        <f>'附件3 规划内'!L247</f>
        <v>0</v>
      </c>
      <c r="M7" s="26">
        <f>'附件3 规划内'!M247</f>
        <v>44470</v>
      </c>
      <c r="N7" s="26">
        <f>'附件3 规划内'!N247</f>
        <v>44896</v>
      </c>
      <c r="O7" t="str">
        <f>'附件3 规划内'!O247</f>
        <v>市城管局</v>
      </c>
      <c r="P7" t="str">
        <f>'附件3 规划内'!P247</f>
        <v>市本级</v>
      </c>
      <c r="Q7">
        <f>'附件3 规划内'!Q247</f>
        <v>0</v>
      </c>
      <c r="R7">
        <f>'附件3 规划内'!R247</f>
        <v>0</v>
      </c>
      <c r="T7">
        <f>'附件4 规划外'!A32</f>
        <v>42</v>
      </c>
      <c r="U7" t="str">
        <f>'附件4 规划外'!B32</f>
        <v>新区二水厂建设</v>
      </c>
      <c r="V7" t="str">
        <f>'附件4 规划外'!C32</f>
        <v>市政</v>
      </c>
      <c r="W7" t="str">
        <f>'附件4 规划外'!D32</f>
        <v>项目占地约163亩，先期建设供水能力为20万m3/d，净水处理工艺采用“常规处理+深度处理+污泥处理”工艺。</v>
      </c>
      <c r="X7">
        <f>'附件4 规划外'!E32</f>
        <v>51347</v>
      </c>
      <c r="Y7">
        <f>'附件4 规划外'!F32</f>
        <v>39411</v>
      </c>
      <c r="Z7">
        <f>'附件4 规划外'!G32</f>
        <v>11936</v>
      </c>
      <c r="AA7">
        <f>'附件4 规划外'!H32</f>
        <v>0</v>
      </c>
      <c r="AB7" t="str">
        <f>'附件4 规划外'!I32</f>
        <v>在建</v>
      </c>
      <c r="AC7">
        <f>'附件4 规划外'!J32</f>
        <v>44430</v>
      </c>
      <c r="AD7">
        <f>'附件4 规划外'!K32</f>
        <v>5019</v>
      </c>
      <c r="AE7" t="str">
        <f>'附件4 规划外'!L32</f>
        <v>主体工程已完工，正在进行二次结构和装修施工</v>
      </c>
      <c r="AF7" s="26">
        <f>'附件4 规划外'!M32</f>
        <v>44197</v>
      </c>
      <c r="AG7" s="26">
        <f>'附件4 规划外'!N32</f>
        <v>44896</v>
      </c>
      <c r="AH7" t="str">
        <f>'附件4 规划外'!O32</f>
        <v>市城管局</v>
      </c>
      <c r="AI7" t="str">
        <f>'附件4 规划外'!P32</f>
        <v>市本级</v>
      </c>
      <c r="AJ7">
        <f>'附件4 规划外'!Q32</f>
        <v>0</v>
      </c>
      <c r="AK7">
        <f>'附件4 规划外'!R32</f>
        <v>0</v>
      </c>
    </row>
    <row r="8" spans="1:37">
      <c r="A8">
        <f>'附件3 规划内'!A254</f>
        <v>235</v>
      </c>
      <c r="B8" t="str">
        <f>'附件3 规划内'!B254</f>
        <v>尉氏县城区积水点治理项目</v>
      </c>
      <c r="C8" t="str">
        <f>'附件3 规划内'!C254</f>
        <v>市政</v>
      </c>
      <c r="D8" t="str">
        <f>'附件3 规划内'!D254</f>
        <v>滨河东路与行政北路交叉口	改造及新增北二环雨水管道（建设路-刘麦河），双侧布置，长度1600米，管径d800-2000汽车北站西门至南门段汽车站门口增设多联雨水口4座，贯通建设路东西两侧雨水管道，设计管径d800，长度约85米尉州大道刘麦河交叉口,交叉口西北角绿化带内，建设规模2m3/s行政北路永美大公馆南门雨污水管道混错接改造，长度约200米。尉缭路建兴鸿郡北街与行政北路、北二环交叉口处管道连通，长度约220米三师附小北校区门口改造温泉路沿线雨水口约16座，沿线小区雨污分流改造。</v>
      </c>
      <c r="E8">
        <f>'附件3 规划内'!E254</f>
        <v>4668</v>
      </c>
      <c r="F8">
        <f>'附件3 规划内'!F254</f>
        <v>0</v>
      </c>
      <c r="G8">
        <f>'附件3 规划内'!G254</f>
        <v>4668</v>
      </c>
      <c r="H8">
        <f>'附件3 规划内'!H254</f>
        <v>0</v>
      </c>
      <c r="I8" t="str">
        <f>'附件3 规划内'!I254</f>
        <v>完工</v>
      </c>
      <c r="J8">
        <f>'附件3 规划内'!J254</f>
        <v>4668</v>
      </c>
      <c r="K8">
        <f>'附件3 规划内'!K254</f>
        <v>4668</v>
      </c>
      <c r="L8">
        <f>'附件3 规划内'!L254</f>
        <v>0</v>
      </c>
      <c r="M8">
        <f>'附件3 规划内'!M254</f>
        <v>44470</v>
      </c>
      <c r="N8">
        <f>'附件3 规划内'!N254</f>
        <v>44896</v>
      </c>
      <c r="O8" t="str">
        <f>'附件3 规划内'!O254</f>
        <v>市城管局</v>
      </c>
      <c r="P8" t="str">
        <f>'附件3 规划内'!P254</f>
        <v>尉氏县</v>
      </c>
      <c r="Q8">
        <f>'附件3 规划内'!Q254</f>
        <v>0</v>
      </c>
      <c r="R8">
        <f>'附件3 规划内'!R254</f>
        <v>0</v>
      </c>
      <c r="T8">
        <f>'附件4 规划外'!A33</f>
        <v>43</v>
      </c>
      <c r="U8" t="str">
        <f>'附件4 规划外'!B33</f>
        <v>新区二水厂管网建设</v>
      </c>
      <c r="V8" t="str">
        <f>'附件4 规划外'!C33</f>
        <v>市政</v>
      </c>
      <c r="W8" t="str">
        <f>'附件4 规划外'!D33</f>
        <v>示范区水厂配套管网建设</v>
      </c>
      <c r="X8">
        <f>'附件4 规划外'!E33</f>
        <v>26000</v>
      </c>
      <c r="Y8">
        <f>'附件4 规划外'!F33</f>
        <v>17500</v>
      </c>
      <c r="Z8">
        <f>'附件4 规划外'!G33</f>
        <v>8500</v>
      </c>
      <c r="AA8">
        <f>'附件4 规划外'!H33</f>
        <v>0</v>
      </c>
      <c r="AB8" t="str">
        <f>'附件4 规划外'!I33</f>
        <v>在建</v>
      </c>
      <c r="AC8">
        <f>'附件4 规划外'!J33</f>
        <v>20900</v>
      </c>
      <c r="AD8">
        <f>'附件4 规划外'!K33</f>
        <v>3400</v>
      </c>
      <c r="AE8" t="str">
        <f>'附件4 规划外'!L33</f>
        <v>正在进行管网铺设</v>
      </c>
      <c r="AF8" s="26">
        <f>'附件4 规划外'!M33</f>
        <v>44197</v>
      </c>
      <c r="AG8" s="26">
        <f>'附件4 规划外'!N33</f>
        <v>44896</v>
      </c>
      <c r="AH8" t="str">
        <f>'附件4 规划外'!O33</f>
        <v>市城管局</v>
      </c>
      <c r="AI8" t="str">
        <f>'附件4 规划外'!P33</f>
        <v>市本级</v>
      </c>
      <c r="AJ8">
        <f>'附件4 规划外'!Q33</f>
        <v>0</v>
      </c>
      <c r="AK8">
        <f>'附件4 规划外'!R33</f>
        <v>0</v>
      </c>
    </row>
    <row r="9" spans="20:37">
      <c r="T9">
        <f>'附件4 规划外'!A34</f>
        <v>44</v>
      </c>
      <c r="U9" t="str">
        <f>'附件4 规划外'!B34</f>
        <v>老旧小区道路、排水管网、屋顶防水及地下室防护等基础设施改造</v>
      </c>
      <c r="V9" t="str">
        <f>'附件4 规划外'!C34</f>
        <v>市政</v>
      </c>
      <c r="W9" t="str">
        <f>'附件4 规划外'!D34</f>
        <v>涉及10538户居民，建筑面积117万平方米。</v>
      </c>
      <c r="X9">
        <f>'附件4 规划外'!E34</f>
        <v>4000</v>
      </c>
      <c r="Y9">
        <f>'附件4 规划外'!F34</f>
        <v>4000</v>
      </c>
      <c r="Z9">
        <f>'附件4 规划外'!G34</f>
        <v>0</v>
      </c>
      <c r="AA9">
        <f>'附件4 规划外'!H34</f>
        <v>0</v>
      </c>
      <c r="AB9" t="str">
        <f>'附件4 规划外'!I34</f>
        <v>完工</v>
      </c>
      <c r="AC9">
        <f>'附件4 规划外'!J34</f>
        <v>4000</v>
      </c>
      <c r="AD9" t="str">
        <f>'附件4 规划外'!K34</f>
        <v/>
      </c>
      <c r="AE9" t="str">
        <f>'附件4 规划外'!L34</f>
        <v>已完工</v>
      </c>
      <c r="AF9" s="26">
        <f>'附件4 规划外'!M34</f>
        <v>44256</v>
      </c>
      <c r="AG9" s="26">
        <f>'附件4 规划外'!N34</f>
        <v>44531</v>
      </c>
      <c r="AH9" t="str">
        <f>'附件4 规划外'!O34</f>
        <v>市城管局</v>
      </c>
      <c r="AI9" t="str">
        <f>'附件4 规划外'!P34</f>
        <v>兰考县</v>
      </c>
      <c r="AJ9">
        <f>'附件4 规划外'!Q34</f>
        <v>0</v>
      </c>
      <c r="AK9">
        <f>'附件4 规划外'!R34</f>
        <v>0</v>
      </c>
    </row>
    <row r="10" spans="20:37">
      <c r="T10">
        <f>'附件4 规划外'!A35</f>
        <v>45</v>
      </c>
      <c r="U10" t="str">
        <f>'附件4 规划外'!B35</f>
        <v>兰考县兰阳路人行道修复及管网提升整治工程</v>
      </c>
      <c r="V10" t="str">
        <f>'附件4 规划外'!C35</f>
        <v>市政</v>
      </c>
      <c r="W10" t="str">
        <f>'附件4 规划外'!D35</f>
        <v>雨污分流及人行道整治</v>
      </c>
      <c r="X10">
        <f>'附件4 规划外'!E35</f>
        <v>2000</v>
      </c>
      <c r="Y10">
        <f>'附件4 规划外'!F35</f>
        <v>400</v>
      </c>
      <c r="Z10">
        <f>'附件4 规划外'!G35</f>
        <v>1600</v>
      </c>
      <c r="AA10">
        <f>'附件4 规划外'!H35</f>
        <v>0</v>
      </c>
      <c r="AB10" t="str">
        <f>'附件4 规划外'!I35</f>
        <v>在建</v>
      </c>
      <c r="AC10">
        <f>'附件4 规划外'!J35</f>
        <v>1930</v>
      </c>
      <c r="AD10">
        <f>'附件4 规划外'!K35</f>
        <v>1530</v>
      </c>
      <c r="AE10" t="str">
        <f>'附件4 规划外'!L35</f>
        <v>兰阳路北侧人行道及管网已完成，南侧住建局正在改造施工中</v>
      </c>
      <c r="AF10" s="26">
        <f>'附件4 规划外'!M35</f>
        <v>44501</v>
      </c>
      <c r="AG10" s="26">
        <f>'附件4 规划外'!N35</f>
        <v>44835</v>
      </c>
      <c r="AH10" t="str">
        <f>'附件4 规划外'!O35</f>
        <v>市城管局</v>
      </c>
      <c r="AI10" t="str">
        <f>'附件4 规划外'!P35</f>
        <v>兰考县</v>
      </c>
      <c r="AJ10">
        <f>'附件4 规划外'!Q35</f>
        <v>0</v>
      </c>
      <c r="AK10">
        <f>'附件4 规划外'!R35</f>
        <v>0</v>
      </c>
    </row>
    <row r="11" spans="20:37">
      <c r="T11">
        <f>'附件4 规划外'!A36</f>
        <v>46</v>
      </c>
      <c r="U11" t="str">
        <f>'附件4 规划外'!B36</f>
        <v>焦裕禄纪念园周边改造提升</v>
      </c>
      <c r="V11" t="str">
        <f>'附件4 规划外'!C36</f>
        <v>市政</v>
      </c>
      <c r="W11" t="str">
        <f>'附件4 规划外'!D36</f>
        <v>陵园扩建及停车位建设</v>
      </c>
      <c r="X11">
        <f>'附件4 规划外'!E36</f>
        <v>6560</v>
      </c>
      <c r="Y11">
        <f>'附件4 规划外'!F36</f>
        <v>4770</v>
      </c>
      <c r="Z11">
        <f>'附件4 规划外'!G36</f>
        <v>1790</v>
      </c>
      <c r="AA11">
        <f>'附件4 规划外'!H36</f>
        <v>0</v>
      </c>
      <c r="AB11" t="str">
        <f>'附件4 规划外'!I36</f>
        <v>在建</v>
      </c>
      <c r="AC11">
        <f>'附件4 规划外'!J36</f>
        <v>6490</v>
      </c>
      <c r="AD11">
        <f>'附件4 规划外'!K36</f>
        <v>1720</v>
      </c>
      <c r="AE11" t="str">
        <f>'附件4 规划外'!L36</f>
        <v>陵园扩建工程5月前可完成，停车场正在施工中</v>
      </c>
      <c r="AF11" s="26">
        <f>'附件4 规划外'!M36</f>
        <v>44501</v>
      </c>
      <c r="AG11" s="26">
        <f>'附件4 规划外'!N36</f>
        <v>44835</v>
      </c>
      <c r="AH11" t="str">
        <f>'附件4 规划外'!O36</f>
        <v>市城管局</v>
      </c>
      <c r="AI11" t="str">
        <f>'附件4 规划外'!P36</f>
        <v>兰考县</v>
      </c>
      <c r="AJ11">
        <f>'附件4 规划外'!Q36</f>
        <v>0</v>
      </c>
      <c r="AK11">
        <f>'附件4 规划外'!R36</f>
        <v>0</v>
      </c>
    </row>
    <row r="12" spans="20:37">
      <c r="T12">
        <f>'附件4 规划外'!A37</f>
        <v>47</v>
      </c>
      <c r="U12" t="str">
        <f>'附件4 规划外'!B37</f>
        <v>兰考县镇区污水处理站改造</v>
      </c>
      <c r="V12" t="str">
        <f>'附件4 规划外'!C37</f>
        <v>市政</v>
      </c>
      <c r="W12" t="str">
        <f>'附件4 规划外'!D37</f>
        <v>南彰镇、小宋镇、仪封镇、许河乡、葡萄架乡5个污水站点维修改造，维修、新建、清淤污水管网30公里</v>
      </c>
      <c r="X12">
        <f>'附件4 规划外'!E37</f>
        <v>5400</v>
      </c>
      <c r="Y12">
        <f>'附件4 规划外'!F37</f>
        <v>5400</v>
      </c>
      <c r="Z12">
        <f>'附件4 规划外'!G37</f>
        <v>0</v>
      </c>
      <c r="AA12">
        <f>'附件4 规划外'!H37</f>
        <v>0</v>
      </c>
      <c r="AB12" t="str">
        <f>'附件4 规划外'!I37</f>
        <v>完工</v>
      </c>
      <c r="AC12">
        <f>'附件4 规划外'!J37</f>
        <v>5400</v>
      </c>
      <c r="AD12" t="str">
        <f>'附件4 规划外'!K37</f>
        <v/>
      </c>
      <c r="AE12" t="str">
        <f>'附件4 规划外'!L37</f>
        <v>已完工</v>
      </c>
      <c r="AF12" s="26">
        <f>'附件4 规划外'!M37</f>
        <v>44348</v>
      </c>
      <c r="AG12" s="26">
        <f>'附件4 规划外'!N37</f>
        <v>44531</v>
      </c>
      <c r="AH12" t="str">
        <f>'附件4 规划外'!O37</f>
        <v>市城管局</v>
      </c>
      <c r="AI12" t="str">
        <f>'附件4 规划外'!P37</f>
        <v>兰考县</v>
      </c>
      <c r="AJ12">
        <f>'附件4 规划外'!Q37</f>
        <v>0</v>
      </c>
      <c r="AK12">
        <f>'附件4 规划外'!R37</f>
        <v>0</v>
      </c>
    </row>
    <row r="13" spans="20:37">
      <c r="T13">
        <f>'附件4 规划外'!A38</f>
        <v>48</v>
      </c>
      <c r="U13" t="str">
        <f>'附件4 规划外'!B38</f>
        <v>兰考县产业集聚区宝龙路污水出路（污水处理厂-宝龙路）管道工程</v>
      </c>
      <c r="V13" t="str">
        <f>'附件4 规划外'!C38</f>
        <v>市政</v>
      </c>
      <c r="W13" t="str">
        <f>'附件4 规划外'!D38</f>
        <v>新建污水管网300多米，包括沉井和一体化提升泵站等内容，总投资约600万元。</v>
      </c>
      <c r="X13">
        <f>'附件4 规划外'!E38</f>
        <v>600</v>
      </c>
      <c r="Y13">
        <f>'附件4 规划外'!F38</f>
        <v>600</v>
      </c>
      <c r="Z13">
        <f>'附件4 规划外'!G38</f>
        <v>0</v>
      </c>
      <c r="AA13">
        <f>'附件4 规划外'!H38</f>
        <v>0</v>
      </c>
      <c r="AB13" t="str">
        <f>'附件4 规划外'!I38</f>
        <v>完工</v>
      </c>
      <c r="AC13">
        <f>'附件4 规划外'!J38</f>
        <v>600</v>
      </c>
      <c r="AD13" t="str">
        <f>'附件4 规划外'!K38</f>
        <v/>
      </c>
      <c r="AE13" t="str">
        <f>'附件4 规划外'!L38</f>
        <v>已完工</v>
      </c>
      <c r="AF13" s="26">
        <f>'附件4 规划外'!M38</f>
        <v>44378</v>
      </c>
      <c r="AG13" s="26">
        <f>'附件4 规划外'!N38</f>
        <v>44531</v>
      </c>
      <c r="AH13" t="str">
        <f>'附件4 规划外'!O38</f>
        <v>市城管局</v>
      </c>
      <c r="AI13" t="str">
        <f>'附件4 规划外'!P38</f>
        <v>兰考县</v>
      </c>
      <c r="AJ13">
        <f>'附件4 规划外'!Q38</f>
        <v>0</v>
      </c>
      <c r="AK13">
        <f>'附件4 规划外'!R38</f>
        <v>0</v>
      </c>
    </row>
    <row r="14" spans="20:37">
      <c r="T14">
        <f>'附件4 规划外'!A39</f>
        <v>49</v>
      </c>
      <c r="U14" t="str">
        <f>'附件4 规划外'!B39</f>
        <v>兰考县五干渠两岸护坡、护栏修复及东延清淤整治工程</v>
      </c>
      <c r="V14" t="str">
        <f>'附件4 规划外'!C39</f>
        <v>市政</v>
      </c>
      <c r="W14" t="str">
        <f>'附件4 规划外'!D39</f>
        <v>护栏、护坡、沿岸道路修复及东延新修清淤整治</v>
      </c>
      <c r="X14">
        <f>'附件4 规划外'!E39</f>
        <v>830</v>
      </c>
      <c r="Y14">
        <f>'附件4 规划外'!F39</f>
        <v>830</v>
      </c>
      <c r="Z14">
        <f>'附件4 规划外'!G39</f>
        <v>0</v>
      </c>
      <c r="AA14">
        <f>'附件4 规划外'!H39</f>
        <v>0</v>
      </c>
      <c r="AB14" t="str">
        <f>'附件4 规划外'!I39</f>
        <v>完工</v>
      </c>
      <c r="AC14">
        <f>'附件4 规划外'!J39</f>
        <v>830</v>
      </c>
      <c r="AD14" t="str">
        <f>'附件4 规划外'!K39</f>
        <v/>
      </c>
      <c r="AE14" t="str">
        <f>'附件4 规划外'!L39</f>
        <v>已完工</v>
      </c>
      <c r="AF14" s="26">
        <f>'附件4 规划外'!M39</f>
        <v>44378</v>
      </c>
      <c r="AG14" s="26">
        <f>'附件4 规划外'!N39</f>
        <v>44531</v>
      </c>
      <c r="AH14" t="str">
        <f>'附件4 规划外'!O39</f>
        <v>市城管局</v>
      </c>
      <c r="AI14" t="str">
        <f>'附件4 规划外'!P39</f>
        <v>兰考县</v>
      </c>
      <c r="AJ14">
        <f>'附件4 规划外'!Q39</f>
        <v>0</v>
      </c>
      <c r="AK14">
        <f>'附件4 规划外'!R39</f>
        <v>0</v>
      </c>
    </row>
    <row r="15" spans="20:37">
      <c r="T15">
        <f>'附件4 规划外'!A40</f>
        <v>50</v>
      </c>
      <c r="U15" t="str">
        <f>'附件4 规划外'!B40</f>
        <v>兰考县道路新建工程打包项目</v>
      </c>
      <c r="V15" t="str">
        <f>'附件4 规划外'!C40</f>
        <v>市政</v>
      </c>
      <c r="W15" t="str">
        <f>'附件4 规划外'!D40</f>
        <v>兰考县东明大道（光裕路-航海路）道路新建工道路全长9.3公里，雨水管网全长18公里，污水管网14公里；兰考县文体路（兰曹路-东环路）道路新建工程道路全长1.4里，雨水管网全长1.5公里，污水管网1.5公里；兰考县兰溪街（朝阳路-文体路）道路新建工程，道路全长1里，雨水管网全长1公里，污水管网1公里。</v>
      </c>
      <c r="X15">
        <f>'附件4 规划外'!E40</f>
        <v>54500</v>
      </c>
      <c r="Y15">
        <f>'附件4 规划外'!F40</f>
        <v>19500</v>
      </c>
      <c r="Z15">
        <f>'附件4 规划外'!G40</f>
        <v>23000</v>
      </c>
      <c r="AA15">
        <f>'附件4 规划外'!H40</f>
        <v>12000</v>
      </c>
      <c r="AB15" t="str">
        <f>'附件4 规划外'!I40</f>
        <v>在建</v>
      </c>
      <c r="AC15">
        <f>'附件4 规划外'!J40</f>
        <v>35700</v>
      </c>
      <c r="AD15">
        <f>'附件4 规划外'!K40</f>
        <v>16200</v>
      </c>
      <c r="AE15" t="str">
        <f>'附件4 规划外'!L40</f>
        <v>正在施工</v>
      </c>
      <c r="AF15" s="26">
        <f>'附件4 规划外'!M40</f>
        <v>43952</v>
      </c>
      <c r="AG15" s="26">
        <f>'附件4 规划外'!N40</f>
        <v>45139</v>
      </c>
      <c r="AH15" t="str">
        <f>'附件4 规划外'!O40</f>
        <v>市城管局</v>
      </c>
      <c r="AI15" t="str">
        <f>'附件4 规划外'!P40</f>
        <v>兰考县</v>
      </c>
      <c r="AJ15">
        <f>'附件4 规划外'!Q40</f>
        <v>0</v>
      </c>
      <c r="AK15">
        <f>'附件4 规划外'!R40</f>
        <v>0</v>
      </c>
    </row>
    <row r="16" spans="20:37">
      <c r="T16">
        <f>'附件4 规划外'!A41</f>
        <v>51</v>
      </c>
      <c r="U16" t="str">
        <f>'附件4 规划外'!B41</f>
        <v>兰考城区积水点改造项目</v>
      </c>
      <c r="V16" t="str">
        <f>'附件4 规划外'!C41</f>
        <v>市政</v>
      </c>
      <c r="W16" t="str">
        <f>'附件4 规划外'!D41</f>
        <v>新建泵站3座，新建排水设管网3公里以及道路人行道恢复，打通入河口3处，新建截水沟2处。</v>
      </c>
      <c r="X16">
        <f>'附件4 规划外'!E41</f>
        <v>4000</v>
      </c>
      <c r="Y16">
        <f>'附件4 规划外'!F41</f>
        <v>2000</v>
      </c>
      <c r="Z16">
        <f>'附件4 规划外'!G41</f>
        <v>2000</v>
      </c>
      <c r="AA16">
        <f>'附件4 规划外'!H41</f>
        <v>0</v>
      </c>
      <c r="AB16" t="str">
        <f>'附件4 规划外'!I41</f>
        <v>在建</v>
      </c>
      <c r="AC16">
        <f>'附件4 规划外'!J41</f>
        <v>3750</v>
      </c>
      <c r="AD16">
        <f>'附件4 规划外'!K41</f>
        <v>1750</v>
      </c>
      <c r="AE16" t="str">
        <f>'附件4 规划外'!L41</f>
        <v>正在施工</v>
      </c>
      <c r="AF16" s="26">
        <f>'附件4 规划外'!M41</f>
        <v>44501</v>
      </c>
      <c r="AG16" s="26">
        <f>'附件4 规划外'!N41</f>
        <v>44743</v>
      </c>
      <c r="AH16" t="str">
        <f>'附件4 规划外'!O41</f>
        <v>市城管局</v>
      </c>
      <c r="AI16" t="str">
        <f>'附件4 规划外'!P41</f>
        <v>兰考县</v>
      </c>
      <c r="AJ16">
        <f>'附件4 规划外'!Q41</f>
        <v>0</v>
      </c>
      <c r="AK16">
        <f>'附件4 规划外'!R41</f>
        <v>0</v>
      </c>
    </row>
    <row r="17" spans="20:37">
      <c r="T17">
        <f>'附件4 规划外'!A42</f>
        <v>52</v>
      </c>
      <c r="U17" t="str">
        <f>'附件4 规划外'!B42</f>
        <v>阳泰街（迎宾大道-三义路）建设工程</v>
      </c>
      <c r="V17" t="str">
        <f>'附件4 规划外'!C42</f>
        <v>市政</v>
      </c>
      <c r="W17" t="str">
        <f>'附件4 规划外'!D42</f>
        <v>建设内容为：新建雨水管道、道路、照明、交通、绿化等内容</v>
      </c>
      <c r="X17">
        <f>'附件4 规划外'!E42</f>
        <v>750</v>
      </c>
      <c r="Y17">
        <f>'附件4 规划外'!F42</f>
        <v>550</v>
      </c>
      <c r="Z17">
        <f>'附件4 规划外'!G42</f>
        <v>200</v>
      </c>
      <c r="AA17">
        <f>'附件4 规划外'!H42</f>
        <v>0</v>
      </c>
      <c r="AB17" t="str">
        <f>'附件4 规划外'!I42</f>
        <v>完工</v>
      </c>
      <c r="AC17">
        <f>'附件4 规划外'!J42</f>
        <v>750</v>
      </c>
      <c r="AD17">
        <f>'附件4 规划外'!K42</f>
        <v>200</v>
      </c>
      <c r="AE17" t="str">
        <f>'附件4 规划外'!L42</f>
        <v>已完工</v>
      </c>
      <c r="AF17" s="26">
        <f>'附件4 规划外'!M42</f>
        <v>44470</v>
      </c>
      <c r="AG17" s="26">
        <f>'附件4 规划外'!N42</f>
        <v>44593</v>
      </c>
      <c r="AH17" t="str">
        <f>'附件4 规划外'!O42</f>
        <v>市城管局</v>
      </c>
      <c r="AI17" t="str">
        <f>'附件4 规划外'!P42</f>
        <v>兰考县</v>
      </c>
      <c r="AJ17">
        <f>'附件4 规划外'!Q42</f>
        <v>0</v>
      </c>
      <c r="AK17">
        <f>'附件4 规划外'!R42</f>
        <v>0</v>
      </c>
    </row>
    <row r="18" spans="20:37">
      <c r="T18">
        <f>'附件4 规划外'!A43</f>
        <v>53</v>
      </c>
      <c r="U18" t="str">
        <f>'附件4 规划外'!B43</f>
        <v>尉氏县S102在建市政道路受灾修复工程</v>
      </c>
      <c r="V18" t="str">
        <f>'附件4 规划外'!C43</f>
        <v>市政</v>
      </c>
      <c r="W18" t="str">
        <f>'附件4 规划外'!D43</f>
        <v>对S102在建市政道路路槽积水进行抽排,损毁路基、路面修复、桥梁重建。</v>
      </c>
      <c r="X18">
        <f>'附件4 规划外'!E43</f>
        <v>500</v>
      </c>
      <c r="Y18">
        <f>'附件4 规划外'!F43</f>
        <v>500</v>
      </c>
      <c r="Z18">
        <f>'附件4 规划外'!G43</f>
        <v>0</v>
      </c>
      <c r="AA18">
        <f>'附件4 规划外'!H43</f>
        <v>0</v>
      </c>
      <c r="AB18" t="str">
        <f>'附件4 规划外'!I43</f>
        <v>完工</v>
      </c>
      <c r="AC18">
        <f>'附件4 规划外'!J43</f>
        <v>500</v>
      </c>
      <c r="AD18" t="str">
        <f>'附件4 规划外'!K43</f>
        <v/>
      </c>
      <c r="AE18" t="str">
        <f>'附件4 规划外'!L43</f>
        <v>已完工</v>
      </c>
      <c r="AF18" s="26">
        <f>'附件4 规划外'!M43</f>
        <v>44409</v>
      </c>
      <c r="AG18" s="26">
        <f>'附件4 规划外'!N43</f>
        <v>44531</v>
      </c>
      <c r="AH18" t="str">
        <f>'附件4 规划外'!O43</f>
        <v>市城管局</v>
      </c>
      <c r="AI18" t="str">
        <f>'附件4 规划外'!P43</f>
        <v>尉氏县</v>
      </c>
      <c r="AJ18">
        <f>'附件4 规划外'!Q43</f>
        <v>0</v>
      </c>
      <c r="AK18">
        <f>'附件4 规划外'!R43</f>
        <v>0</v>
      </c>
    </row>
    <row r="19" spans="20:37">
      <c r="T19">
        <f>'附件4 规划外'!A44</f>
        <v>54</v>
      </c>
      <c r="U19" t="str">
        <f>'附件4 规划外'!B44</f>
        <v>尉氏县北二环应急应急排涝河渠建设工程</v>
      </c>
      <c r="V19" t="str">
        <f>'附件4 规划外'!C44</f>
        <v>市政</v>
      </c>
      <c r="W19" t="str">
        <f>'附件4 规划外'!D44</f>
        <v>建设刘麦河北二环处分流导洪渠刘麦河至康沟河段，长度2.4公里，宽15米，满足排涝分流建设需求</v>
      </c>
      <c r="X19">
        <f>'附件4 规划外'!E44</f>
        <v>900</v>
      </c>
      <c r="Y19">
        <f>'附件4 规划外'!F44</f>
        <v>900</v>
      </c>
      <c r="Z19">
        <f>'附件4 规划外'!G44</f>
        <v>0</v>
      </c>
      <c r="AA19">
        <f>'附件4 规划外'!H44</f>
        <v>0</v>
      </c>
      <c r="AB19" t="str">
        <f>'附件4 规划外'!I44</f>
        <v>完工</v>
      </c>
      <c r="AC19">
        <f>'附件4 规划外'!J44</f>
        <v>900</v>
      </c>
      <c r="AD19" t="str">
        <f>'附件4 规划外'!K44</f>
        <v/>
      </c>
      <c r="AE19" t="str">
        <f>'附件4 规划外'!L44</f>
        <v>已完工</v>
      </c>
      <c r="AF19" s="26">
        <f>'附件4 规划外'!M44</f>
        <v>44440</v>
      </c>
      <c r="AG19" s="26">
        <f>'附件4 规划外'!N44</f>
        <v>44531</v>
      </c>
      <c r="AH19" t="str">
        <f>'附件4 规划外'!O44</f>
        <v>市城管局</v>
      </c>
      <c r="AI19" t="str">
        <f>'附件4 规划外'!P44</f>
        <v>尉氏县</v>
      </c>
      <c r="AJ19">
        <f>'附件4 规划外'!Q44</f>
        <v>0</v>
      </c>
      <c r="AK19">
        <f>'附件4 规划外'!R44</f>
        <v>0</v>
      </c>
    </row>
    <row r="20" spans="20:37">
      <c r="T20">
        <f>'附件4 规划外'!A45</f>
        <v>55</v>
      </c>
      <c r="U20" t="str">
        <f>'附件4 规划外'!B45</f>
        <v>尉氏县城区窨井盖及雨水口维修</v>
      </c>
      <c r="V20" t="str">
        <f>'附件4 规划外'!C45</f>
        <v>市政</v>
      </c>
      <c r="W20" t="str">
        <f>'附件4 规划外'!D45</f>
        <v>对丢失、冲毁、损坏的窨井盖及雨水口进行维修</v>
      </c>
      <c r="X20">
        <f>'附件4 规划外'!E45</f>
        <v>1000</v>
      </c>
      <c r="Y20">
        <f>'附件4 规划外'!F45</f>
        <v>400</v>
      </c>
      <c r="Z20">
        <f>'附件4 规划外'!G45</f>
        <v>400</v>
      </c>
      <c r="AA20">
        <f>'附件4 规划外'!H45</f>
        <v>200</v>
      </c>
      <c r="AB20" t="str">
        <f>'附件4 规划外'!I45</f>
        <v>在建</v>
      </c>
      <c r="AC20">
        <f>'附件4 规划外'!J45</f>
        <v>560</v>
      </c>
      <c r="AD20">
        <f>'附件4 规划外'!K45</f>
        <v>160</v>
      </c>
      <c r="AE20" t="str">
        <f>'附件4 规划外'!L45</f>
        <v>完成总工程量的55%</v>
      </c>
      <c r="AF20" s="26">
        <f>'附件4 规划外'!M45</f>
        <v>44440</v>
      </c>
      <c r="AG20" s="26">
        <f>'附件4 规划外'!N45</f>
        <v>45139</v>
      </c>
      <c r="AH20" t="str">
        <f>'附件4 规划外'!O45</f>
        <v>市城管局</v>
      </c>
      <c r="AI20" t="str">
        <f>'附件4 规划外'!P45</f>
        <v>尉氏县</v>
      </c>
      <c r="AJ20">
        <f>'附件4 规划外'!Q45</f>
        <v>0</v>
      </c>
      <c r="AK20">
        <f>'附件4 规划外'!R45</f>
        <v>0</v>
      </c>
    </row>
    <row r="21" spans="20:37">
      <c r="T21">
        <f>'附件4 规划外'!A46</f>
        <v>56</v>
      </c>
      <c r="U21" t="str">
        <f>'附件4 规划外'!B46</f>
        <v>尉氏县供水管网灾后恢复重建项目</v>
      </c>
      <c r="V21" t="str">
        <f>'附件4 规划外'!C46</f>
        <v>市政</v>
      </c>
      <c r="W21" t="str">
        <f>'附件4 规划外'!D46</f>
        <v>设备更换、管网修复重建</v>
      </c>
      <c r="X21">
        <f>'附件4 规划外'!E46</f>
        <v>333</v>
      </c>
      <c r="Y21">
        <f>'附件4 规划外'!F46</f>
        <v>333</v>
      </c>
      <c r="Z21">
        <f>'附件4 规划外'!G46</f>
        <v>0</v>
      </c>
      <c r="AA21">
        <f>'附件4 规划外'!H46</f>
        <v>0</v>
      </c>
      <c r="AB21" t="str">
        <f>'附件4 规划外'!I46</f>
        <v>完工</v>
      </c>
      <c r="AC21">
        <f>'附件4 规划外'!J46</f>
        <v>333</v>
      </c>
      <c r="AD21" t="str">
        <f>'附件4 规划外'!K46</f>
        <v/>
      </c>
      <c r="AE21" t="str">
        <f>'附件4 规划外'!L46</f>
        <v>已完工</v>
      </c>
      <c r="AF21" s="26">
        <f>'附件4 规划外'!M46</f>
        <v>44501</v>
      </c>
      <c r="AG21" s="26">
        <f>'附件4 规划外'!N46</f>
        <v>44531</v>
      </c>
      <c r="AH21" t="str">
        <f>'附件4 规划外'!O46</f>
        <v>市城管局</v>
      </c>
      <c r="AI21" t="str">
        <f>'附件4 规划外'!P46</f>
        <v>尉氏县</v>
      </c>
      <c r="AJ21">
        <f>'附件4 规划外'!Q46</f>
        <v>0</v>
      </c>
      <c r="AK21">
        <f>'附件4 规划外'!R46</f>
        <v>0</v>
      </c>
    </row>
    <row r="22" spans="20:37">
      <c r="T22">
        <f>'附件4 规划外'!A47</f>
        <v>57</v>
      </c>
      <c r="U22" t="str">
        <f>'附件4 规划外'!B47</f>
        <v>尉氏县尉北科技食品园污水处理厂灾后恢复重建工程</v>
      </c>
      <c r="V22" t="str">
        <f>'附件4 规划外'!C47</f>
        <v>市政</v>
      </c>
      <c r="W22" t="str">
        <f>'附件4 规划外'!D47</f>
        <v>污水处理厂设备维护及更换</v>
      </c>
      <c r="X22">
        <f>'附件4 规划外'!E47</f>
        <v>300</v>
      </c>
      <c r="Y22">
        <f>'附件4 规划外'!F47</f>
        <v>300</v>
      </c>
      <c r="Z22">
        <f>'附件4 规划外'!G47</f>
        <v>0</v>
      </c>
      <c r="AA22">
        <f>'附件4 规划外'!H47</f>
        <v>0</v>
      </c>
      <c r="AB22" t="str">
        <f>'附件4 规划外'!I47</f>
        <v>完工</v>
      </c>
      <c r="AC22">
        <f>'附件4 规划外'!J47</f>
        <v>300</v>
      </c>
      <c r="AD22" t="str">
        <f>'附件4 规划外'!K47</f>
        <v/>
      </c>
      <c r="AE22" t="str">
        <f>'附件4 规划外'!L47</f>
        <v>已完工</v>
      </c>
      <c r="AF22" s="26">
        <f>'附件4 规划外'!M47</f>
        <v>44409</v>
      </c>
      <c r="AG22" s="26">
        <f>'附件4 规划外'!N47</f>
        <v>44531</v>
      </c>
      <c r="AH22" t="str">
        <f>'附件4 规划外'!O47</f>
        <v>市城管局</v>
      </c>
      <c r="AI22" t="str">
        <f>'附件4 规划外'!P47</f>
        <v>尉氏县</v>
      </c>
      <c r="AJ22">
        <f>'附件4 规划外'!Q47</f>
        <v>0</v>
      </c>
      <c r="AK22">
        <f>'附件4 规划外'!R47</f>
        <v>0</v>
      </c>
    </row>
    <row r="23" spans="20:37">
      <c r="T23">
        <f>'附件4 规划外'!A48</f>
        <v>58</v>
      </c>
      <c r="U23" t="str">
        <f>'附件4 规划外'!B48</f>
        <v>通许县咸平大道东段道路升级改造工程</v>
      </c>
      <c r="V23" t="str">
        <f>'附件4 规划外'!C48</f>
        <v>市政</v>
      </c>
      <c r="W23" t="str">
        <f>'附件4 规划外'!D48</f>
        <v>修复路基长度1400米，路面8920平方米</v>
      </c>
      <c r="X23">
        <f>'附件4 规划外'!E48</f>
        <v>7531</v>
      </c>
      <c r="Y23">
        <f>'附件4 规划外'!F48</f>
        <v>7531</v>
      </c>
      <c r="Z23">
        <f>'附件4 规划外'!G48</f>
        <v>0</v>
      </c>
      <c r="AA23">
        <f>'附件4 规划外'!H48</f>
        <v>0</v>
      </c>
      <c r="AB23" t="str">
        <f>'附件4 规划外'!I48</f>
        <v>完工</v>
      </c>
      <c r="AC23">
        <f>'附件4 规划外'!J48</f>
        <v>7531</v>
      </c>
      <c r="AD23" t="str">
        <f>'附件4 规划外'!K48</f>
        <v/>
      </c>
      <c r="AE23" t="str">
        <f>'附件4 规划外'!L48</f>
        <v>已完工</v>
      </c>
      <c r="AF23" s="26">
        <f>'附件4 规划外'!M48</f>
        <v>44440</v>
      </c>
      <c r="AG23" s="26">
        <f>'附件4 规划外'!N48</f>
        <v>44531</v>
      </c>
      <c r="AH23" t="str">
        <f>'附件4 规划外'!O48</f>
        <v>市城管局</v>
      </c>
      <c r="AI23" t="str">
        <f>'附件4 规划外'!P48</f>
        <v>通许县</v>
      </c>
      <c r="AJ23">
        <f>'附件4 规划外'!Q48</f>
        <v>0</v>
      </c>
      <c r="AK23">
        <f>'附件4 规划外'!R48</f>
        <v>0</v>
      </c>
    </row>
    <row r="24" spans="20:37">
      <c r="T24">
        <f>'附件4 规划外'!A49</f>
        <v>59</v>
      </c>
      <c r="U24" t="str">
        <f>'附件4 规划外'!B49</f>
        <v>通许县纵五路道路新建工程</v>
      </c>
      <c r="V24" t="str">
        <f>'附件4 规划外'!C49</f>
        <v>市政</v>
      </c>
      <c r="W24" t="str">
        <f>'附件4 规划外'!D49</f>
        <v>建设道路长度1018米</v>
      </c>
      <c r="X24">
        <f>'附件4 规划外'!E49</f>
        <v>2700</v>
      </c>
      <c r="Y24">
        <f>'附件4 规划外'!F49</f>
        <v>2460</v>
      </c>
      <c r="Z24">
        <f>'附件4 规划外'!G49</f>
        <v>240</v>
      </c>
      <c r="AA24">
        <f>'附件4 规划外'!H49</f>
        <v>0</v>
      </c>
      <c r="AB24" t="str">
        <f>'附件4 规划外'!I49</f>
        <v>完工</v>
      </c>
      <c r="AC24">
        <f>'附件4 规划外'!J49</f>
        <v>2700</v>
      </c>
      <c r="AD24">
        <f>'附件4 规划外'!K49</f>
        <v>240</v>
      </c>
      <c r="AE24" t="str">
        <f>'附件4 规划外'!L49</f>
        <v>已完工</v>
      </c>
      <c r="AF24" s="26">
        <f>'附件4 规划外'!M49</f>
        <v>44440</v>
      </c>
      <c r="AG24" s="26">
        <f>'附件4 规划外'!N49</f>
        <v>44652</v>
      </c>
      <c r="AH24" t="str">
        <f>'附件4 规划外'!O49</f>
        <v>市城管局</v>
      </c>
      <c r="AI24" t="str">
        <f>'附件4 规划外'!P49</f>
        <v>通许县</v>
      </c>
      <c r="AJ24">
        <f>'附件4 规划外'!Q49</f>
        <v>0</v>
      </c>
      <c r="AK24">
        <f>'附件4 规划外'!R49</f>
        <v>0</v>
      </c>
    </row>
    <row r="25" spans="20:37">
      <c r="T25">
        <f>'附件4 规划外'!A50</f>
        <v>60</v>
      </c>
      <c r="U25" t="str">
        <f>'附件4 规划外'!B50</f>
        <v>通许县新城区雨污错接混接整治项目</v>
      </c>
      <c r="V25" t="str">
        <f>'附件4 规划外'!C50</f>
        <v>市政</v>
      </c>
      <c r="W25" t="str">
        <f>'附件4 规划外'!D50</f>
        <v>县城城区规划以内，雨污水管网进行改造疏通。</v>
      </c>
      <c r="X25">
        <f>'附件4 规划外'!E50</f>
        <v>7200</v>
      </c>
      <c r="Y25">
        <f>'附件4 规划外'!F50</f>
        <v>0</v>
      </c>
      <c r="Z25">
        <f>'附件4 规划外'!G50</f>
        <v>4000</v>
      </c>
      <c r="AA25">
        <f>'附件4 规划外'!H50</f>
        <v>3200</v>
      </c>
      <c r="AB25" t="str">
        <f>'附件4 规划外'!I50</f>
        <v>在建</v>
      </c>
      <c r="AC25">
        <f>'附件4 规划外'!J50</f>
        <v>4980</v>
      </c>
      <c r="AD25">
        <f>'附件4 规划外'!K50</f>
        <v>4980</v>
      </c>
      <c r="AE25" t="str">
        <f>'附件4 规划外'!L50</f>
        <v>已完成98%</v>
      </c>
      <c r="AF25" s="26">
        <f>'附件4 规划外'!M50</f>
        <v>44621</v>
      </c>
      <c r="AG25" s="26">
        <f>'附件4 规划外'!N50</f>
        <v>45139</v>
      </c>
      <c r="AH25" t="str">
        <f>'附件4 规划外'!O50</f>
        <v>市城管局</v>
      </c>
      <c r="AI25" t="str">
        <f>'附件4 规划外'!P50</f>
        <v>通许县</v>
      </c>
      <c r="AJ25">
        <f>'附件4 规划外'!Q50</f>
        <v>0</v>
      </c>
      <c r="AK25">
        <f>'附件4 规划外'!R50</f>
        <v>0</v>
      </c>
    </row>
    <row r="26" spans="20:37">
      <c r="T26">
        <f>'附件4 规划外'!A51</f>
        <v>61</v>
      </c>
      <c r="U26" t="str">
        <f>'附件4 规划外'!B51</f>
        <v>通许县园区道路重建项目</v>
      </c>
      <c r="V26" t="str">
        <f>'附件4 规划外'!C51</f>
        <v>市政</v>
      </c>
      <c r="W26" t="str">
        <f>'附件4 规划外'!D51</f>
        <v>园区南路、祥云路、上海路中段路面重建，雨污管网修复</v>
      </c>
      <c r="X26">
        <f>'附件4 规划外'!E51</f>
        <v>5390</v>
      </c>
      <c r="Y26">
        <f>'附件4 规划外'!F51</f>
        <v>0</v>
      </c>
      <c r="Z26">
        <f>'附件4 规划外'!G51</f>
        <v>5000</v>
      </c>
      <c r="AA26">
        <f>'附件4 规划外'!H51</f>
        <v>390</v>
      </c>
      <c r="AB26" t="str">
        <f>'附件4 规划外'!I51</f>
        <v>完工</v>
      </c>
      <c r="AC26">
        <f>'附件4 规划外'!J51</f>
        <v>5390</v>
      </c>
      <c r="AD26">
        <f>'附件4 规划外'!K51</f>
        <v>5390</v>
      </c>
      <c r="AE26" t="str">
        <f>'附件4 规划外'!L51</f>
        <v>已完成57.3%</v>
      </c>
      <c r="AF26" s="26">
        <f>'附件4 规划外'!M51</f>
        <v>44621</v>
      </c>
      <c r="AG26" s="26">
        <f>'附件4 规划外'!N51</f>
        <v>44986</v>
      </c>
      <c r="AH26" t="str">
        <f>'附件4 规划外'!O51</f>
        <v>市城管局</v>
      </c>
      <c r="AI26" t="str">
        <f>'附件4 规划外'!P51</f>
        <v>通许县</v>
      </c>
      <c r="AJ26">
        <f>'附件4 规划外'!Q51</f>
        <v>0</v>
      </c>
      <c r="AK26">
        <f>'附件4 规划外'!R51</f>
        <v>0</v>
      </c>
    </row>
    <row r="27" spans="20:37">
      <c r="T27">
        <f>'附件4 规划外'!A52</f>
        <v>62</v>
      </c>
      <c r="U27" t="str">
        <f>'附件4 规划外'!B52</f>
        <v>通许县城市基础设施灾后恢复重建项目</v>
      </c>
      <c r="V27" t="str">
        <f>'附件4 规划外'!C52</f>
        <v>市政</v>
      </c>
      <c r="W27" t="str">
        <f>'附件4 规划外'!D52</f>
        <v>环卫设施维修、照明设施维修、道路修复、雨污管网清淤、排水设施修复、垃圾场水毁设施修复等。</v>
      </c>
      <c r="X27">
        <f>'附件4 规划外'!E52</f>
        <v>6148.56</v>
      </c>
      <c r="Y27">
        <f>'附件4 规划外'!F52</f>
        <v>0</v>
      </c>
      <c r="Z27">
        <f>'附件4 规划外'!G52</f>
        <v>6148.56</v>
      </c>
      <c r="AA27">
        <f>'附件4 规划外'!H52</f>
        <v>0</v>
      </c>
      <c r="AB27" t="str">
        <f>'附件4 规划外'!I52</f>
        <v>完工</v>
      </c>
      <c r="AC27">
        <f>'附件4 规划外'!J52</f>
        <v>6148.56</v>
      </c>
      <c r="AD27">
        <f>'附件4 规划外'!K52</f>
        <v>6148.56</v>
      </c>
      <c r="AE27">
        <f>'附件4 规划外'!L52</f>
        <v>1</v>
      </c>
      <c r="AF27" s="26">
        <f>'附件4 规划外'!M52</f>
        <v>44743</v>
      </c>
      <c r="AG27" s="26">
        <f>'附件4 规划外'!N52</f>
        <v>44896</v>
      </c>
      <c r="AH27" t="str">
        <f>'附件4 规划外'!O52</f>
        <v>市城管局</v>
      </c>
      <c r="AI27" t="str">
        <f>'附件4 规划外'!P52</f>
        <v>通许县</v>
      </c>
      <c r="AJ27">
        <f>'附件4 规划外'!Q52</f>
        <v>0</v>
      </c>
      <c r="AK27">
        <f>'附件4 规划外'!R52</f>
        <v>0</v>
      </c>
    </row>
    <row r="28" spans="20:37">
      <c r="T28">
        <f>'附件4 规划外'!A53</f>
        <v>63</v>
      </c>
      <c r="U28" t="str">
        <f>'附件4 规划外'!B53</f>
        <v>通许县城市停车场建设项目</v>
      </c>
      <c r="V28" t="str">
        <f>'附件4 规划外'!C53</f>
        <v>市政</v>
      </c>
      <c r="W28" t="str">
        <f>'附件4 规划外'!D53</f>
        <v>本项目建设20个停车场，充电桩585个，生态绿化、商业用房及服务物管等配套设施、通许县智能生态停车场建设项目，主要建设地上停车场、配套服务用房、充电设施和地下停车场一层及相关的地下空
间人防工程。</v>
      </c>
      <c r="X28">
        <f>'附件4 规划外'!E53</f>
        <v>17723.41</v>
      </c>
      <c r="Y28">
        <f>'附件4 规划外'!F53</f>
        <v>0</v>
      </c>
      <c r="Z28">
        <f>'附件4 规划外'!G53</f>
        <v>10000</v>
      </c>
      <c r="AA28">
        <f>'附件4 规划外'!H53</f>
        <v>7723.41</v>
      </c>
      <c r="AB28" t="str">
        <f>'附件4 规划外'!I53</f>
        <v>在建</v>
      </c>
      <c r="AC28">
        <f>'附件4 规划外'!J53</f>
        <v>4242.2</v>
      </c>
      <c r="AD28">
        <f>'附件4 规划外'!K53</f>
        <v>4242.2</v>
      </c>
      <c r="AE28" t="str">
        <f>'附件4 规划外'!L53</f>
        <v>已完成37%</v>
      </c>
      <c r="AF28" s="26">
        <f>'附件4 规划外'!M53</f>
        <v>44621</v>
      </c>
      <c r="AG28" s="26">
        <f>'附件4 规划外'!N53</f>
        <v>45139</v>
      </c>
      <c r="AH28" t="str">
        <f>'附件4 规划外'!O53</f>
        <v>市城管局</v>
      </c>
      <c r="AI28" t="str">
        <f>'附件4 规划外'!P53</f>
        <v>通许县</v>
      </c>
      <c r="AJ28">
        <f>'附件4 规划外'!Q53</f>
        <v>0</v>
      </c>
      <c r="AK28">
        <f>'附件4 规划外'!R53</f>
        <v>0</v>
      </c>
    </row>
    <row r="29" spans="20:37">
      <c r="T29">
        <f>'附件4 规划外'!A54</f>
        <v>64</v>
      </c>
      <c r="U29" t="str">
        <f>'附件4 规划外'!B54</f>
        <v>通许县道路修复工程</v>
      </c>
      <c r="V29" t="str">
        <f>'附件4 规划外'!C54</f>
        <v>市政</v>
      </c>
      <c r="W29" t="str">
        <f>'附件4 规划外'!D54</f>
        <v>对通许县咸平大道、工业大道、商业路、裕丰路进行道路修复</v>
      </c>
      <c r="X29">
        <f>'附件4 规划外'!E54</f>
        <v>9052</v>
      </c>
      <c r="Y29">
        <f>'附件4 规划外'!F54</f>
        <v>0</v>
      </c>
      <c r="Z29">
        <f>'附件4 规划外'!G54</f>
        <v>8000</v>
      </c>
      <c r="AA29">
        <f>'附件4 规划外'!H54</f>
        <v>1052</v>
      </c>
      <c r="AB29" t="str">
        <f>'附件4 规划外'!I54</f>
        <v>在建</v>
      </c>
      <c r="AC29">
        <f>'附件4 规划外'!J54</f>
        <v>8018</v>
      </c>
      <c r="AD29">
        <f>'附件4 规划外'!K54</f>
        <v>8018</v>
      </c>
      <c r="AE29" t="str">
        <f>'附件4 规划外'!L54</f>
        <v>已完成39%</v>
      </c>
      <c r="AF29" s="26">
        <f>'附件4 规划外'!M54</f>
        <v>44621</v>
      </c>
      <c r="AG29" s="26">
        <f>'附件4 规划外'!N54</f>
        <v>44986</v>
      </c>
      <c r="AH29" t="str">
        <f>'附件4 规划外'!O54</f>
        <v>市城管局</v>
      </c>
      <c r="AI29" t="str">
        <f>'附件4 规划外'!P54</f>
        <v>通许县</v>
      </c>
      <c r="AJ29">
        <f>'附件4 规划外'!Q54</f>
        <v>0</v>
      </c>
      <c r="AK29">
        <f>'附件4 规划外'!R54</f>
        <v>0</v>
      </c>
    </row>
    <row r="30" spans="20:37">
      <c r="T30">
        <f>'附件4 规划外'!A55</f>
        <v>65</v>
      </c>
      <c r="U30" t="str">
        <f>'附件4 规划外'!B55</f>
        <v>通许县建设景观渠（望月河）修复</v>
      </c>
      <c r="V30" t="str">
        <f>'附件4 规划外'!C55</f>
        <v>市政</v>
      </c>
      <c r="W30" t="str">
        <f>'附件4 规划外'!D55</f>
        <v>建设景观渠（望月河）修复</v>
      </c>
      <c r="X30">
        <f>'附件4 规划外'!E55</f>
        <v>650</v>
      </c>
      <c r="Y30">
        <f>'附件4 规划外'!F55</f>
        <v>460</v>
      </c>
      <c r="Z30">
        <f>'附件4 规划外'!G55</f>
        <v>190</v>
      </c>
      <c r="AA30">
        <f>'附件4 规划外'!H55</f>
        <v>0</v>
      </c>
      <c r="AB30" t="str">
        <f>'附件4 规划外'!I55</f>
        <v>完工</v>
      </c>
      <c r="AC30">
        <f>'附件4 规划外'!J55</f>
        <v>650</v>
      </c>
      <c r="AD30">
        <f>'附件4 规划外'!K55</f>
        <v>190</v>
      </c>
      <c r="AE30" t="str">
        <f>'附件4 规划外'!L55</f>
        <v>已完工</v>
      </c>
      <c r="AF30" s="26">
        <f>'附件4 规划外'!M55</f>
        <v>44470</v>
      </c>
      <c r="AG30" s="26">
        <f>'附件4 规划外'!N55</f>
        <v>44621</v>
      </c>
      <c r="AH30" t="str">
        <f>'附件4 规划外'!O55</f>
        <v>市城管局</v>
      </c>
      <c r="AI30" t="str">
        <f>'附件4 规划外'!P55</f>
        <v>通许县</v>
      </c>
      <c r="AJ30">
        <f>'附件4 规划外'!Q55</f>
        <v>0</v>
      </c>
      <c r="AK30">
        <f>'附件4 规划外'!R55</f>
        <v>0</v>
      </c>
    </row>
    <row r="31" spans="20:37">
      <c r="T31">
        <f>'附件4 规划外'!A56</f>
        <v>66</v>
      </c>
      <c r="U31" t="str">
        <f>'附件4 规划外'!B56</f>
        <v>通许县生活垃圾裂解、焚烧供热项目</v>
      </c>
      <c r="V31" t="str">
        <f>'附件4 规划外'!C56</f>
        <v>市政</v>
      </c>
      <c r="W31" t="str">
        <f>'附件4 规划外'!D56</f>
        <v>本项目总用地面积 30 亩，设计处理垃圾规模 400 吨/日。主要建设内容为：厂区建筑安装工程、总图工程及设备购置。</v>
      </c>
      <c r="X31">
        <f>'附件4 规划外'!E56</f>
        <v>8000</v>
      </c>
      <c r="Y31">
        <f>'附件4 规划外'!F56</f>
        <v>0</v>
      </c>
      <c r="Z31">
        <f>'附件4 规划外'!G56</f>
        <v>5000</v>
      </c>
      <c r="AA31">
        <f>'附件4 规划外'!H56</f>
        <v>3000</v>
      </c>
      <c r="AB31" t="str">
        <f>'附件4 规划外'!I56</f>
        <v>在建</v>
      </c>
      <c r="AC31">
        <f>'附件4 规划外'!J56</f>
        <v>3275</v>
      </c>
      <c r="AD31">
        <f>'附件4 规划外'!K56</f>
        <v>3275</v>
      </c>
      <c r="AE31" t="str">
        <f>'附件4 规划外'!L56</f>
        <v>已开工</v>
      </c>
      <c r="AF31" s="26">
        <f>'附件4 规划外'!M56</f>
        <v>44805</v>
      </c>
      <c r="AG31" s="26">
        <f>'附件4 规划外'!N56</f>
        <v>45139</v>
      </c>
      <c r="AH31" t="str">
        <f>'附件4 规划外'!O56</f>
        <v>市城管局</v>
      </c>
      <c r="AI31" t="str">
        <f>'附件4 规划外'!P56</f>
        <v>通许县</v>
      </c>
      <c r="AJ31">
        <f>'附件4 规划外'!Q56</f>
        <v>0</v>
      </c>
      <c r="AK31">
        <f>'附件4 规划外'!R56</f>
        <v>0</v>
      </c>
    </row>
    <row r="32" spans="20:37">
      <c r="T32">
        <f>'附件4 规划外'!A57</f>
        <v>67</v>
      </c>
      <c r="U32" t="str">
        <f>'附件4 规划外'!B57</f>
        <v>通许县垃圾填埋厂渗滤液调节池</v>
      </c>
      <c r="V32" t="str">
        <f>'附件4 规划外'!C57</f>
        <v>市政</v>
      </c>
      <c r="W32" t="str">
        <f>'附件4 规划外'!D57</f>
        <v>新建设渗滤液调节池一座</v>
      </c>
      <c r="X32">
        <f>'附件4 规划外'!E57</f>
        <v>120</v>
      </c>
      <c r="Y32">
        <f>'附件4 规划外'!F57</f>
        <v>120</v>
      </c>
      <c r="Z32">
        <f>'附件4 规划外'!G57</f>
        <v>0</v>
      </c>
      <c r="AA32">
        <f>'附件4 规划外'!H57</f>
        <v>0</v>
      </c>
      <c r="AB32" t="str">
        <f>'附件4 规划外'!I57</f>
        <v>完工</v>
      </c>
      <c r="AC32">
        <f>'附件4 规划外'!J57</f>
        <v>120</v>
      </c>
      <c r="AD32" t="str">
        <f>'附件4 规划外'!K57</f>
        <v/>
      </c>
      <c r="AE32">
        <f>'附件4 规划外'!L57</f>
        <v>1</v>
      </c>
      <c r="AF32" s="26">
        <f>'附件4 规划外'!M57</f>
        <v>44440</v>
      </c>
      <c r="AG32" s="26">
        <f>'附件4 规划外'!N57</f>
        <v>44531</v>
      </c>
      <c r="AH32" t="str">
        <f>'附件4 规划外'!O57</f>
        <v>市城管局</v>
      </c>
      <c r="AI32" t="str">
        <f>'附件4 规划外'!P57</f>
        <v>通许县</v>
      </c>
      <c r="AJ32">
        <f>'附件4 规划外'!Q57</f>
        <v>0</v>
      </c>
      <c r="AK32">
        <f>'附件4 规划外'!R57</f>
        <v>0</v>
      </c>
    </row>
    <row r="33" spans="20:37">
      <c r="T33">
        <f>'附件4 规划外'!A58</f>
        <v>68</v>
      </c>
      <c r="U33" t="str">
        <f>'附件4 规划外'!B58</f>
        <v>杞县海河、提排站、公租房小区等基础设施灾后恢复重建项目</v>
      </c>
      <c r="V33" t="str">
        <f>'附件4 规划外'!C58</f>
        <v>市政</v>
      </c>
      <c r="W33" t="str">
        <f>'附件4 规划外'!D58</f>
        <v>1、海河（包括护坡、护栏、污水管网、六座桥）；2、三座提排站（设备维修及更新）；3、三个公租房小区基础设施（房屋屋顶漏水，市政设施修缮）</v>
      </c>
      <c r="X33">
        <f>'附件4 规划外'!E58</f>
        <v>9100</v>
      </c>
      <c r="Y33">
        <f>'附件4 规划外'!F58</f>
        <v>1200</v>
      </c>
      <c r="Z33">
        <f>'附件4 规划外'!G58</f>
        <v>7900</v>
      </c>
      <c r="AA33">
        <f>'附件4 规划外'!H58</f>
        <v>0</v>
      </c>
      <c r="AB33" t="str">
        <f>'附件4 规划外'!I58</f>
        <v>在建</v>
      </c>
      <c r="AC33">
        <f>'附件4 规划外'!J58</f>
        <v>8790</v>
      </c>
      <c r="AD33">
        <f>'附件4 规划外'!K58</f>
        <v>7590</v>
      </c>
      <c r="AE33" t="str">
        <f>'附件4 规划外'!L58</f>
        <v>已完成海河护坡已修复200米，破除路面13600平方米，修复检查井154个；提排站6台水泵安装；公租房屋顶防水已完成1200平方米。</v>
      </c>
      <c r="AF33" s="26">
        <f>'附件4 规划外'!M58</f>
        <v>44378</v>
      </c>
      <c r="AG33" s="26">
        <f>'附件4 规划外'!N58</f>
        <v>44896</v>
      </c>
      <c r="AH33" t="str">
        <f>'附件4 规划外'!O58</f>
        <v>市城管局</v>
      </c>
      <c r="AI33" t="str">
        <f>'附件4 规划外'!P58</f>
        <v>杞县</v>
      </c>
      <c r="AJ33">
        <f>'附件4 规划外'!Q58</f>
        <v>0</v>
      </c>
      <c r="AK33">
        <f>'附件4 规划外'!R58</f>
        <v>0</v>
      </c>
    </row>
    <row r="34" spans="20:37">
      <c r="T34">
        <f>'附件4 规划外'!A59</f>
        <v>69</v>
      </c>
      <c r="U34" t="str">
        <f>'附件4 规划外'!B59</f>
        <v>杞县海河排水防涝工程</v>
      </c>
      <c r="V34" t="str">
        <f>'附件4 规划外'!C59</f>
        <v>市政</v>
      </c>
      <c r="W34" t="str">
        <f>'附件4 规划外'!D59</f>
        <v>海河河道清污及河道改造、污水管线、河道两侧照明、电力排管、河道两侧绿化、通信排管及海河两侧建筑物外立面改造。</v>
      </c>
      <c r="X34">
        <f>'附件4 规划外'!E59</f>
        <v>14850</v>
      </c>
      <c r="Y34">
        <f>'附件4 规划外'!F59</f>
        <v>0</v>
      </c>
      <c r="Z34">
        <f>'附件4 规划外'!G59</f>
        <v>8850</v>
      </c>
      <c r="AA34">
        <f>'附件4 规划外'!H59</f>
        <v>6000</v>
      </c>
      <c r="AB34" t="str">
        <f>'附件4 规划外'!I59</f>
        <v>在建</v>
      </c>
      <c r="AC34">
        <f>'附件4 规划外'!J59</f>
        <v>9860</v>
      </c>
      <c r="AD34">
        <f>'附件4 规划外'!K59</f>
        <v>9860</v>
      </c>
      <c r="AE34" t="str">
        <f>'附件4 规划外'!L59</f>
        <v>1、已完成河道清淤；铺设污水管网2200米
2、现已完成河底处理（抛石挤淤、河底硬化处理）约4660米；</v>
      </c>
      <c r="AF34" s="26">
        <f>'附件4 规划外'!M59</f>
        <v>44562</v>
      </c>
      <c r="AG34" s="26">
        <f>'附件4 规划外'!N59</f>
        <v>45139</v>
      </c>
      <c r="AH34" t="str">
        <f>'附件4 规划外'!O59</f>
        <v>市城管局</v>
      </c>
      <c r="AI34" t="str">
        <f>'附件4 规划外'!P59</f>
        <v>杞县</v>
      </c>
      <c r="AJ34">
        <f>'附件4 规划外'!Q59</f>
        <v>0</v>
      </c>
      <c r="AK34">
        <f>'附件4 规划外'!R59</f>
        <v>0</v>
      </c>
    </row>
    <row r="35" spans="20:37">
      <c r="T35">
        <f>'附件4 规划外'!A60</f>
        <v>70</v>
      </c>
      <c r="U35" t="str">
        <f>'附件4 规划外'!B60</f>
        <v>祥符区老城区灾后受损道路、排水、桥涵、河坡、泵站、闸门等配套基础设施项目</v>
      </c>
      <c r="V35" t="str">
        <f>'附件4 规划外'!C60</f>
        <v>市政</v>
      </c>
      <c r="W35" t="str">
        <f>'附件4 规划外'!D60</f>
        <v>1、修复河坡、河沿水淹冲毁3500米，河底冲入淤泥0.4米；2、修复桥涵4座，闸门3座，泵站1座，3、修复围挡喷淋倒塌800米，路床水淹1600平方米，电力管进水和泥沙，雨污水管进泥沙。4、修复排水管网3500米。5受损道路修复80000平方米。6、受损绿化修复。</v>
      </c>
      <c r="X35">
        <f>'附件4 规划外'!E60</f>
        <v>5000</v>
      </c>
      <c r="Y35">
        <f>'附件4 规划外'!F60</f>
        <v>1000</v>
      </c>
      <c r="Z35">
        <f>'附件4 规划外'!G60</f>
        <v>2500</v>
      </c>
      <c r="AA35">
        <f>'附件4 规划外'!H60</f>
        <v>1500</v>
      </c>
      <c r="AB35" t="str">
        <f>'附件4 规划外'!I60</f>
        <v>在建</v>
      </c>
      <c r="AC35">
        <f>'附件4 规划外'!J60</f>
        <v>4830</v>
      </c>
      <c r="AD35">
        <f>'附件4 规划外'!K60</f>
        <v>3830</v>
      </c>
      <c r="AE35" t="str">
        <f>'附件4 规划外'!L60</f>
        <v>完成工程量90%</v>
      </c>
      <c r="AF35" s="26">
        <f>'附件4 规划外'!M60</f>
        <v>44440</v>
      </c>
      <c r="AG35" s="26">
        <f>'附件4 规划外'!N60</f>
        <v>45139</v>
      </c>
      <c r="AH35" t="str">
        <f>'附件4 规划外'!O60</f>
        <v>市城管局</v>
      </c>
      <c r="AI35" t="str">
        <f>'附件4 规划外'!P60</f>
        <v>祥符区</v>
      </c>
      <c r="AJ35">
        <f>'附件4 规划外'!Q60</f>
        <v>0</v>
      </c>
      <c r="AK35">
        <f>'附件4 规划外'!R60</f>
        <v>0</v>
      </c>
    </row>
    <row r="36" spans="20:37">
      <c r="T36">
        <f>'附件4 规划外'!A61</f>
        <v>71</v>
      </c>
      <c r="U36" t="str">
        <f>'附件4 规划外'!B61</f>
        <v>祥符区城市河道治理工程</v>
      </c>
      <c r="V36" t="str">
        <f>'附件4 规划外'!C61</f>
        <v>市政</v>
      </c>
      <c r="W36" t="str">
        <f>'附件4 规划外'!D61</f>
        <v>1、祥符区李太沟长3000米，河道清淤疏浚、河坡修复、桥涵改造修复、污水截流、绿化。2、祥符区黄石沟长2000米，河道清淤疏浚、河坡修复、桥涵改造。3、祥符区泄水渠长4000米，河道清淤疏浚、河坡修复、桥涵改造</v>
      </c>
      <c r="X36">
        <f>'附件4 规划外'!E61</f>
        <v>4150</v>
      </c>
      <c r="Y36">
        <f>'附件4 规划外'!F61</f>
        <v>1200</v>
      </c>
      <c r="Z36">
        <f>'附件4 规划外'!G61</f>
        <v>1000</v>
      </c>
      <c r="AA36">
        <f>'附件4 规划外'!H61</f>
        <v>1950</v>
      </c>
      <c r="AB36" t="str">
        <f>'附件4 规划外'!I61</f>
        <v>在建</v>
      </c>
      <c r="AC36">
        <f>'附件4 规划外'!J61</f>
        <v>3950</v>
      </c>
      <c r="AD36">
        <f>'附件4 规划外'!K61</f>
        <v>2750</v>
      </c>
      <c r="AE36" t="str">
        <f>'附件4 规划外'!L61</f>
        <v>完成工程量92%</v>
      </c>
      <c r="AF36" s="26">
        <f>'附件4 规划外'!M61</f>
        <v>44256</v>
      </c>
      <c r="AG36" s="26">
        <f>'附件4 规划外'!N61</f>
        <v>45139</v>
      </c>
      <c r="AH36" t="str">
        <f>'附件4 规划外'!O61</f>
        <v>市城管局</v>
      </c>
      <c r="AI36" t="str">
        <f>'附件4 规划外'!P61</f>
        <v>祥符区</v>
      </c>
      <c r="AJ36">
        <f>'附件4 规划外'!Q61</f>
        <v>0</v>
      </c>
      <c r="AK36">
        <f>'附件4 规划外'!R61</f>
        <v>0</v>
      </c>
    </row>
    <row r="37" spans="20:37">
      <c r="T37">
        <f>'附件4 规划外'!A62</f>
        <v>72</v>
      </c>
      <c r="U37" t="str">
        <f>'附件4 规划外'!B62</f>
        <v>祥符区市政道路、雨污水改建、新建项目</v>
      </c>
      <c r="V37" t="str">
        <f>'附件4 规划外'!C62</f>
        <v>市政</v>
      </c>
      <c r="W37" t="str">
        <f>'附件4 规划外'!D62</f>
        <v>开封市祥符区新村路改造工程、纬三路道路排水工程（科教大道-经二路）、县府北街工程（北一环-县府大街）、园区路工程、中学路道路工程、纬七路治理工程、东环路（310-开杞路）道路排水工程、经四路道路排水工程等道路建设。</v>
      </c>
      <c r="X37">
        <f>'附件4 规划外'!E62</f>
        <v>226849</v>
      </c>
      <c r="Y37">
        <f>'附件4 规划外'!F62</f>
        <v>74709</v>
      </c>
      <c r="Z37">
        <f>'附件4 规划外'!G62</f>
        <v>122140</v>
      </c>
      <c r="AA37">
        <f>'附件4 规划外'!H62</f>
        <v>30000</v>
      </c>
      <c r="AB37" t="str">
        <f>'附件4 规划外'!I62</f>
        <v>在建</v>
      </c>
      <c r="AC37">
        <f>'附件4 规划外'!J62</f>
        <v>205154</v>
      </c>
      <c r="AD37">
        <f>'附件4 规划外'!K62</f>
        <v>130445</v>
      </c>
      <c r="AE37" t="str">
        <f>'附件4 规划外'!L62</f>
        <v>完成工程量90%</v>
      </c>
      <c r="AF37" s="26">
        <f>'附件4 规划外'!M62</f>
        <v>44287</v>
      </c>
      <c r="AG37" s="26">
        <f>'附件4 规划外'!N62</f>
        <v>45139</v>
      </c>
      <c r="AH37" t="str">
        <f>'附件4 规划外'!O62</f>
        <v>市城管局</v>
      </c>
      <c r="AI37" t="str">
        <f>'附件4 规划外'!P62</f>
        <v>祥符区</v>
      </c>
      <c r="AJ37">
        <f>'附件4 规划外'!Q62</f>
        <v>0</v>
      </c>
      <c r="AK37">
        <f>'附件4 规划外'!R62</f>
        <v>0</v>
      </c>
    </row>
    <row r="38" spans="20:37">
      <c r="T38">
        <f>'附件4 规划外'!A63</f>
        <v>73</v>
      </c>
      <c r="U38" t="str">
        <f>'附件4 规划外'!B63</f>
        <v>开封市祥符区黄龙园区道路照明设施修复治理工程</v>
      </c>
      <c r="V38" t="str">
        <f>'附件4 规划外'!C63</f>
        <v>市政</v>
      </c>
      <c r="W38" t="str">
        <f>'附件4 规划外'!D63</f>
        <v>道路路灯、变压器、电缆</v>
      </c>
      <c r="X38">
        <f>'附件4 规划外'!E63</f>
        <v>4000</v>
      </c>
      <c r="Y38">
        <f>'附件4 规划外'!F63</f>
        <v>0</v>
      </c>
      <c r="Z38">
        <f>'附件4 规划外'!G63</f>
        <v>2000</v>
      </c>
      <c r="AA38">
        <f>'附件4 规划外'!H63</f>
        <v>2000</v>
      </c>
      <c r="AB38" t="str">
        <f>'附件4 规划外'!I63</f>
        <v>在建</v>
      </c>
      <c r="AC38">
        <f>'附件4 规划外'!J63</f>
        <v>3885</v>
      </c>
      <c r="AD38">
        <f>'附件4 规划外'!K63</f>
        <v>3885</v>
      </c>
      <c r="AE38" t="str">
        <f>'附件4 规划外'!L63</f>
        <v>完成工程量92%</v>
      </c>
      <c r="AF38" s="26">
        <f>'附件4 规划外'!M63</f>
        <v>44593</v>
      </c>
      <c r="AG38" s="26">
        <f>'附件4 规划外'!N63</f>
        <v>44986</v>
      </c>
      <c r="AH38" t="str">
        <f>'附件4 规划外'!O63</f>
        <v>市城管局</v>
      </c>
      <c r="AI38" t="str">
        <f>'附件4 规划外'!P63</f>
        <v>祥符区</v>
      </c>
      <c r="AJ38">
        <f>'附件4 规划外'!Q63</f>
        <v>0</v>
      </c>
      <c r="AK38">
        <f>'附件4 规划外'!R63</f>
        <v>0</v>
      </c>
    </row>
    <row r="39" spans="20:37">
      <c r="T39">
        <f>'附件4 规划外'!A64</f>
        <v>74</v>
      </c>
      <c r="U39" t="str">
        <f>'附件4 规划外'!B64</f>
        <v>祥符区冲塌、沉陷道路排水修复</v>
      </c>
      <c r="V39" t="str">
        <f>'附件4 规划外'!C64</f>
        <v>市政</v>
      </c>
      <c r="W39" t="str">
        <f>'附件4 规划外'!D64</f>
        <v>修复路面沉陷破损，慢车道、下水道</v>
      </c>
      <c r="X39">
        <f>'附件4 规划外'!E64</f>
        <v>3500</v>
      </c>
      <c r="Y39">
        <f>'附件4 规划外'!F64</f>
        <v>0</v>
      </c>
      <c r="Z39">
        <f>'附件4 规划外'!G64</f>
        <v>2000</v>
      </c>
      <c r="AA39">
        <f>'附件4 规划外'!H64</f>
        <v>1500</v>
      </c>
      <c r="AB39" t="str">
        <f>'附件4 规划外'!I64</f>
        <v>完工</v>
      </c>
      <c r="AC39">
        <f>'附件4 规划外'!J64</f>
        <v>3500</v>
      </c>
      <c r="AD39">
        <f>'附件4 规划外'!K64</f>
        <v>3500</v>
      </c>
      <c r="AE39" t="str">
        <f>'附件4 规划外'!L64</f>
        <v>完工</v>
      </c>
      <c r="AF39" s="26">
        <f>'附件4 规划外'!M64</f>
        <v>44593</v>
      </c>
      <c r="AG39" s="26">
        <f>'附件4 规划外'!N64</f>
        <v>45139</v>
      </c>
      <c r="AH39" t="str">
        <f>'附件4 规划外'!O64</f>
        <v>市城管局</v>
      </c>
      <c r="AI39" t="str">
        <f>'附件4 规划外'!P64</f>
        <v>祥符区</v>
      </c>
      <c r="AJ39">
        <f>'附件4 规划外'!Q64</f>
        <v>0</v>
      </c>
      <c r="AK39">
        <f>'附件4 规划外'!R64</f>
        <v>0</v>
      </c>
    </row>
    <row r="40" spans="20:37">
      <c r="T40">
        <f>'附件4 规划外'!A65</f>
        <v>75</v>
      </c>
      <c r="U40" t="str">
        <f>'附件4 规划外'!B65</f>
        <v>开封祥符区弱电强电入地项目</v>
      </c>
      <c r="V40" t="str">
        <f>'附件4 规划外'!C65</f>
        <v>市政</v>
      </c>
      <c r="W40" t="str">
        <f>'附件4 规划外'!D65</f>
        <v>建设街交叉口、生产街、园区路等道路改造线路迁改。</v>
      </c>
      <c r="X40">
        <f>'附件4 规划外'!E65</f>
        <v>35632</v>
      </c>
      <c r="Y40">
        <f>'附件4 规划外'!F65</f>
        <v>15382</v>
      </c>
      <c r="Z40">
        <f>'附件4 规划外'!G65</f>
        <v>16000</v>
      </c>
      <c r="AA40">
        <f>'附件4 规划外'!H65</f>
        <v>4250</v>
      </c>
      <c r="AB40" t="str">
        <f>'附件4 规划外'!I65</f>
        <v>在建</v>
      </c>
      <c r="AC40">
        <f>'附件4 规划外'!J65</f>
        <v>32607</v>
      </c>
      <c r="AD40">
        <f>'附件4 规划外'!K65</f>
        <v>17225</v>
      </c>
      <c r="AE40" t="str">
        <f>'附件4 规划外'!L65</f>
        <v>完成工程量91%</v>
      </c>
      <c r="AF40" s="26">
        <f>'附件4 规划外'!M65</f>
        <v>44256</v>
      </c>
      <c r="AG40" s="26">
        <f>'附件4 规划外'!N65</f>
        <v>45139</v>
      </c>
      <c r="AH40" t="str">
        <f>'附件4 规划外'!O65</f>
        <v>市城管局</v>
      </c>
      <c r="AI40" t="str">
        <f>'附件4 规划外'!P65</f>
        <v>祥符区</v>
      </c>
      <c r="AJ40">
        <f>'附件4 规划外'!Q65</f>
        <v>0</v>
      </c>
      <c r="AK40">
        <f>'附件4 规划外'!R65</f>
        <v>0</v>
      </c>
    </row>
    <row r="41" spans="20:37">
      <c r="T41">
        <f>'附件4 规划外'!A66</f>
        <v>76</v>
      </c>
      <c r="U41" t="str">
        <f>'附件4 规划外'!B66</f>
        <v>开封市祥符区停车场项目</v>
      </c>
      <c r="V41" t="str">
        <f>'附件4 规划外'!C66</f>
        <v>市政</v>
      </c>
      <c r="W41" t="str">
        <f>'附件4 规划外'!D66</f>
        <v>停车车位及设施配建</v>
      </c>
      <c r="X41">
        <f>'附件4 规划外'!E66</f>
        <v>12381.95</v>
      </c>
      <c r="Y41">
        <f>'附件4 规划外'!F66</f>
        <v>0</v>
      </c>
      <c r="Z41">
        <f>'附件4 规划外'!G66</f>
        <v>6200</v>
      </c>
      <c r="AA41">
        <f>'附件4 规划外'!H66</f>
        <v>6181.95</v>
      </c>
      <c r="AB41" t="str">
        <f>'附件4 规划外'!I66</f>
        <v>在建</v>
      </c>
      <c r="AC41">
        <f>'附件4 规划外'!J66</f>
        <v>10965</v>
      </c>
      <c r="AD41">
        <f>'附件4 规划外'!K66</f>
        <v>10965</v>
      </c>
      <c r="AE41" t="str">
        <f>'附件4 规划外'!L66</f>
        <v>完成工程量92%</v>
      </c>
      <c r="AF41" s="26">
        <f>'附件4 规划外'!M66</f>
        <v>44440</v>
      </c>
      <c r="AG41" s="26">
        <f>'附件4 规划外'!N66</f>
        <v>45139</v>
      </c>
      <c r="AH41" t="str">
        <f>'附件4 规划外'!O66</f>
        <v>市城管局</v>
      </c>
      <c r="AI41" t="str">
        <f>'附件4 规划外'!P66</f>
        <v>祥符区</v>
      </c>
      <c r="AJ41">
        <f>'附件4 规划外'!Q66</f>
        <v>0</v>
      </c>
      <c r="AK41">
        <f>'附件4 规划外'!R66</f>
        <v>0</v>
      </c>
    </row>
    <row r="42" spans="20:37">
      <c r="T42">
        <f>'附件4 规划外'!A67</f>
        <v>77</v>
      </c>
      <c r="U42" t="str">
        <f>'附件4 规划外'!B67</f>
        <v>黄龙河生态治理项目</v>
      </c>
      <c r="V42" t="str">
        <f>'附件4 规划外'!C67</f>
        <v>市政</v>
      </c>
      <c r="W42" t="str">
        <f>'附件4 规划外'!D67</f>
        <v>黄龙湖公园建设，黄龙河河道及岸线周边建设。</v>
      </c>
      <c r="X42">
        <f>'附件4 规划外'!E67</f>
        <v>11898.04</v>
      </c>
      <c r="Y42">
        <f>'附件4 规划外'!F67</f>
        <v>0</v>
      </c>
      <c r="Z42">
        <f>'附件4 规划外'!G67</f>
        <v>6000</v>
      </c>
      <c r="AA42">
        <f>'附件4 规划外'!H67</f>
        <v>5898.04</v>
      </c>
      <c r="AB42" t="str">
        <f>'附件4 规划外'!I67</f>
        <v>在建</v>
      </c>
      <c r="AC42">
        <f>'附件4 规划外'!J67</f>
        <v>11237</v>
      </c>
      <c r="AD42">
        <f>'附件4 规划外'!K67</f>
        <v>11237</v>
      </c>
      <c r="AE42" t="str">
        <f>'附件4 规划外'!L67</f>
        <v>完成工程量92%</v>
      </c>
      <c r="AF42" s="26">
        <f>'附件4 规划外'!M67</f>
        <v>44621</v>
      </c>
      <c r="AG42" s="26">
        <f>'附件4 规划外'!N67</f>
        <v>45139</v>
      </c>
      <c r="AH42" t="str">
        <f>'附件4 规划外'!O67</f>
        <v>市城管局</v>
      </c>
      <c r="AI42" t="str">
        <f>'附件4 规划外'!P67</f>
        <v>祥符区</v>
      </c>
      <c r="AJ42">
        <f>'附件4 规划外'!Q67</f>
        <v>0</v>
      </c>
      <c r="AK42">
        <f>'附件4 规划外'!R67</f>
        <v>0</v>
      </c>
    </row>
    <row r="43" spans="20:37">
      <c r="T43">
        <f>'附件4 规划外'!A68</f>
        <v>78</v>
      </c>
      <c r="U43" t="str">
        <f>'附件4 规划外'!B68</f>
        <v>开封市祥符区城区集中供热管网建设项目</v>
      </c>
      <c r="V43" t="str">
        <f>'附件4 规划外'!C68</f>
        <v>市政</v>
      </c>
      <c r="W43" t="str">
        <f>'附件4 规划外'!D68</f>
        <v>新建高温热水管网50.55km、54座水-水换热站。</v>
      </c>
      <c r="X43">
        <f>'附件4 规划外'!E68</f>
        <v>22028</v>
      </c>
      <c r="Y43">
        <f>'附件4 规划外'!F68</f>
        <v>4500</v>
      </c>
      <c r="Z43">
        <f>'附件4 规划外'!G68</f>
        <v>11000</v>
      </c>
      <c r="AA43">
        <f>'附件4 规划外'!H68</f>
        <v>6528</v>
      </c>
      <c r="AB43" t="str">
        <f>'附件4 规划外'!I68</f>
        <v>在建</v>
      </c>
      <c r="AC43">
        <f>'附件4 规划外'!J68</f>
        <v>20785</v>
      </c>
      <c r="AD43">
        <f>'附件4 规划外'!K68</f>
        <v>16285</v>
      </c>
      <c r="AE43" t="str">
        <f>'附件4 规划外'!L68</f>
        <v>完成工程量91%</v>
      </c>
      <c r="AF43" s="26">
        <f>'附件4 规划外'!M68</f>
        <v>44531</v>
      </c>
      <c r="AG43" s="26">
        <f>'附件4 规划外'!N68</f>
        <v>45139</v>
      </c>
      <c r="AH43" t="str">
        <f>'附件4 规划外'!O68</f>
        <v>市城管局</v>
      </c>
      <c r="AI43" t="str">
        <f>'附件4 规划外'!P68</f>
        <v>祥符区</v>
      </c>
      <c r="AJ43">
        <f>'附件4 规划外'!Q68</f>
        <v>0</v>
      </c>
      <c r="AK43">
        <f>'附件4 规划外'!R68</f>
        <v>0</v>
      </c>
    </row>
    <row r="44" spans="20:37">
      <c r="T44">
        <f>'附件4 规划外'!A69</f>
        <v>79</v>
      </c>
      <c r="U44" t="str">
        <f>'附件4 规划外'!B69</f>
        <v>开封市祥符区民用采暖工程</v>
      </c>
      <c r="V44" t="str">
        <f>'附件4 规划外'!C69</f>
        <v>市政</v>
      </c>
      <c r="W44" t="str">
        <f>'附件4 规划外'!D69</f>
        <v>开封市祥符区民用采暖程，总投资13064万元。开封市祥符区民用采暖程，总投资13064万元</v>
      </c>
      <c r="X44">
        <f>'附件4 规划外'!E69</f>
        <v>13064</v>
      </c>
      <c r="Y44">
        <f>'附件4 规划外'!F69</f>
        <v>10000</v>
      </c>
      <c r="Z44">
        <f>'附件4 规划外'!G69</f>
        <v>3064</v>
      </c>
      <c r="AA44">
        <f>'附件4 规划外'!H69</f>
        <v>0</v>
      </c>
      <c r="AB44" t="str">
        <f>'附件4 规划外'!I69</f>
        <v>在建</v>
      </c>
      <c r="AC44">
        <f>'附件4 规划外'!J69</f>
        <v>11210</v>
      </c>
      <c r="AD44">
        <f>'附件4 规划外'!K69</f>
        <v>1210</v>
      </c>
      <c r="AE44" t="str">
        <f>'附件4 规划外'!L69</f>
        <v>正在施工</v>
      </c>
      <c r="AF44" s="26">
        <f>'附件4 规划外'!M69</f>
        <v>44713</v>
      </c>
      <c r="AG44" s="26">
        <f>'附件4 规划外'!N69</f>
        <v>45139</v>
      </c>
      <c r="AH44" t="str">
        <f>'附件4 规划外'!O69</f>
        <v>市城管局</v>
      </c>
      <c r="AI44" t="str">
        <f>'附件4 规划外'!P69</f>
        <v>祥符区</v>
      </c>
      <c r="AJ44">
        <f>'附件4 规划外'!Q69</f>
        <v>0</v>
      </c>
      <c r="AK44">
        <f>'附件4 规划外'!R69</f>
        <v>0</v>
      </c>
    </row>
    <row r="45" spans="20:37">
      <c r="T45">
        <f>'附件4 规划外'!A70</f>
        <v>80</v>
      </c>
      <c r="U45" t="str">
        <f>'附件4 规划外'!B70</f>
        <v>祥符区受损市政配套基础设施项目</v>
      </c>
      <c r="V45" t="str">
        <f>'附件4 规划外'!C70</f>
        <v>市政</v>
      </c>
      <c r="W45" t="str">
        <f>'附件4 规划外'!D70</f>
        <v>需要更换窨井盖1600套，采购单价950元，施工单价850元</v>
      </c>
      <c r="X45">
        <f>'附件4 规划外'!E70</f>
        <v>288</v>
      </c>
      <c r="Y45">
        <f>'附件4 规划外'!F70</f>
        <v>108</v>
      </c>
      <c r="Z45">
        <f>'附件4 规划外'!G70</f>
        <v>108</v>
      </c>
      <c r="AA45">
        <f>'附件4 规划外'!H70</f>
        <v>72</v>
      </c>
      <c r="AB45" t="str">
        <f>'附件4 规划外'!I70</f>
        <v>在建</v>
      </c>
      <c r="AC45">
        <f>'附件4 规划外'!J70</f>
        <v>216</v>
      </c>
      <c r="AD45">
        <f>'附件4 规划外'!K70</f>
        <v>108</v>
      </c>
      <c r="AE45" t="str">
        <f>'附件4 规划外'!L70</f>
        <v>已开工</v>
      </c>
      <c r="AF45" s="26">
        <f>'附件4 规划外'!M70</f>
        <v>44440</v>
      </c>
      <c r="AG45" s="26">
        <f>'附件4 规划外'!N70</f>
        <v>45078</v>
      </c>
      <c r="AH45" t="str">
        <f>'附件4 规划外'!O70</f>
        <v>市城管局</v>
      </c>
      <c r="AI45" t="str">
        <f>'附件4 规划外'!P70</f>
        <v>祥符区</v>
      </c>
      <c r="AJ45">
        <f>'附件4 规划外'!Q70</f>
        <v>0</v>
      </c>
      <c r="AK45">
        <f>'附件4 规划外'!R70</f>
        <v>0</v>
      </c>
    </row>
    <row r="46" spans="20:37">
      <c r="T46">
        <f>'附件4 规划外'!A71</f>
        <v>81</v>
      </c>
      <c r="U46" t="str">
        <f>'附件4 规划外'!B71</f>
        <v>经二路（世纪大道-中学街东延段）修复及排水管网改造项目</v>
      </c>
      <c r="V46" t="str">
        <f>'附件4 规划外'!C71</f>
        <v>市政</v>
      </c>
      <c r="W46" t="str">
        <f>'附件4 规划外'!D71</f>
        <v>对经二路（世纪大道-中学街东延段）进行修复，对雨污排水管网进行改造</v>
      </c>
      <c r="X46">
        <f>'附件4 规划外'!E71</f>
        <v>720</v>
      </c>
      <c r="Y46">
        <f>'附件4 规划外'!F71</f>
        <v>0</v>
      </c>
      <c r="Z46">
        <f>'附件4 规划外'!G71</f>
        <v>720</v>
      </c>
      <c r="AA46">
        <f>'附件4 规划外'!H71</f>
        <v>0</v>
      </c>
      <c r="AB46" t="str">
        <f>'附件4 规划外'!I71</f>
        <v>完工</v>
      </c>
      <c r="AC46">
        <f>'附件4 规划外'!J71</f>
        <v>720</v>
      </c>
      <c r="AD46">
        <f>'附件4 规划外'!K71</f>
        <v>720</v>
      </c>
      <c r="AE46" t="str">
        <f>'附件4 规划外'!L71</f>
        <v>已完工</v>
      </c>
      <c r="AF46" s="26">
        <f>'附件4 规划外'!M71</f>
        <v>44621</v>
      </c>
      <c r="AG46" s="26">
        <f>'附件4 规划外'!N71</f>
        <v>44896</v>
      </c>
      <c r="AH46" t="str">
        <f>'附件4 规划外'!O71</f>
        <v>市城管局</v>
      </c>
      <c r="AI46" t="str">
        <f>'附件4 规划外'!P71</f>
        <v>祥符区</v>
      </c>
      <c r="AJ46">
        <f>'附件4 规划外'!Q71</f>
        <v>0</v>
      </c>
      <c r="AK46">
        <f>'附件4 规划外'!R71</f>
        <v>0</v>
      </c>
    </row>
    <row r="47" spans="20:37">
      <c r="T47">
        <f>'附件4 规划外'!A72</f>
        <v>82</v>
      </c>
      <c r="U47" t="str">
        <f>'附件4 规划外'!B72</f>
        <v>祥符区市政道路修复项目</v>
      </c>
      <c r="V47" t="str">
        <f>'附件4 规划外'!C72</f>
        <v>市政</v>
      </c>
      <c r="W47" t="str">
        <f>'附件4 规划外'!D72</f>
        <v>人民路、上禾大道、科教大道路面修补投资200万、青年路雨污水管网修复改造投资1300万、经二路（中学街东延-独白路段）雨污水管网修复改造及绿化项目投资1831.628万元</v>
      </c>
      <c r="X47">
        <f>'附件4 规划外'!E72</f>
        <v>3331.628</v>
      </c>
      <c r="Y47">
        <f>'附件4 规划外'!F72</f>
        <v>0</v>
      </c>
      <c r="Z47">
        <f>'附件4 规划外'!G72</f>
        <v>3331.628</v>
      </c>
      <c r="AA47">
        <f>'附件4 规划外'!H72</f>
        <v>0</v>
      </c>
      <c r="AB47" t="str">
        <f>'附件4 规划外'!I72</f>
        <v>完工</v>
      </c>
      <c r="AC47">
        <f>'附件4 规划外'!J72</f>
        <v>3331.628</v>
      </c>
      <c r="AD47">
        <f>'附件4 规划外'!K72</f>
        <v>3331.628</v>
      </c>
      <c r="AE47" t="str">
        <f>'附件4 规划外'!L72</f>
        <v>已完工</v>
      </c>
      <c r="AF47" s="26">
        <f>'附件4 规划外'!M72</f>
        <v>44621</v>
      </c>
      <c r="AG47" s="26">
        <f>'附件4 规划外'!N72</f>
        <v>44896</v>
      </c>
      <c r="AH47" t="str">
        <f>'附件4 规划外'!O72</f>
        <v>市城管局</v>
      </c>
      <c r="AI47" t="str">
        <f>'附件4 规划外'!P72</f>
        <v>祥符区</v>
      </c>
      <c r="AJ47">
        <f>'附件4 规划外'!Q72</f>
        <v>0</v>
      </c>
      <c r="AK47">
        <f>'附件4 规划外'!R72</f>
        <v>0</v>
      </c>
    </row>
    <row r="48" spans="20:37">
      <c r="T48">
        <f>'附件4 规划外'!A73</f>
        <v>83</v>
      </c>
      <c r="U48" t="str">
        <f>'附件4 规划外'!B73</f>
        <v>祥符区建筑垃圾消纳厂建设项目</v>
      </c>
      <c r="V48" t="str">
        <f>'附件4 规划外'!C73</f>
        <v>市政</v>
      </c>
      <c r="W48" t="str">
        <f>'附件4 规划外'!D73</f>
        <v>建设一座占地50亩，日处理建筑垃圾能力200吨的消纳厂</v>
      </c>
      <c r="X48">
        <f>'附件4 规划外'!E73</f>
        <v>2000</v>
      </c>
      <c r="Y48">
        <f>'附件4 规划外'!F73</f>
        <v>0</v>
      </c>
      <c r="Z48">
        <f>'附件4 规划外'!G73</f>
        <v>500</v>
      </c>
      <c r="AA48">
        <f>'附件4 规划外'!H73</f>
        <v>1500</v>
      </c>
      <c r="AB48" t="str">
        <f>'附件4 规划外'!I73</f>
        <v>完工</v>
      </c>
      <c r="AC48">
        <f>'附件4 规划外'!J73</f>
        <v>2000</v>
      </c>
      <c r="AD48">
        <f>'附件4 规划外'!K73</f>
        <v>2000</v>
      </c>
      <c r="AE48" t="str">
        <f>'附件4 规划外'!L73</f>
        <v>已完工</v>
      </c>
      <c r="AF48" s="26">
        <f>'附件4 规划外'!M73</f>
        <v>44621</v>
      </c>
      <c r="AG48" s="26">
        <f>'附件4 规划外'!N73</f>
        <v>45139</v>
      </c>
      <c r="AH48" t="str">
        <f>'附件4 规划外'!O73</f>
        <v>市城管局</v>
      </c>
      <c r="AI48" t="str">
        <f>'附件4 规划外'!P73</f>
        <v>祥符区</v>
      </c>
      <c r="AJ48">
        <f>'附件4 规划外'!Q73</f>
        <v>0</v>
      </c>
      <c r="AK48">
        <f>'附件4 规划外'!R73</f>
        <v>0</v>
      </c>
    </row>
    <row r="49" spans="20:37">
      <c r="T49">
        <f>'附件4 规划外'!A74</f>
        <v>84</v>
      </c>
      <c r="U49" t="str">
        <f>'附件4 规划外'!B74</f>
        <v>祥符区受损公共设施项目</v>
      </c>
      <c r="V49" t="str">
        <f>'附件4 规划外'!C74</f>
        <v>市政</v>
      </c>
      <c r="W49" t="str">
        <f>'附件4 规划外'!D74</f>
        <v>新建公共厕所5座</v>
      </c>
      <c r="X49">
        <f>'附件4 规划外'!E74</f>
        <v>350</v>
      </c>
      <c r="Y49">
        <f>'附件4 规划外'!F74</f>
        <v>350</v>
      </c>
      <c r="Z49">
        <f>'附件4 规划外'!G74</f>
        <v>0</v>
      </c>
      <c r="AA49">
        <f>'附件4 规划外'!H74</f>
        <v>0</v>
      </c>
      <c r="AB49" t="str">
        <f>'附件4 规划外'!I74</f>
        <v>完工</v>
      </c>
      <c r="AC49">
        <f>'附件4 规划外'!J74</f>
        <v>350</v>
      </c>
      <c r="AD49" t="str">
        <f>'附件4 规划外'!K74</f>
        <v/>
      </c>
      <c r="AE49" t="str">
        <f>'附件4 规划外'!L74</f>
        <v>已完工</v>
      </c>
      <c r="AF49" s="26">
        <f>'附件4 规划外'!M74</f>
        <v>44440</v>
      </c>
      <c r="AG49" s="26">
        <f>'附件4 规划外'!N74</f>
        <v>44531</v>
      </c>
      <c r="AH49" t="str">
        <f>'附件4 规划外'!O74</f>
        <v>市城管局</v>
      </c>
      <c r="AI49" t="str">
        <f>'附件4 规划外'!P74</f>
        <v>祥符区</v>
      </c>
      <c r="AJ49">
        <f>'附件4 规划外'!Q74</f>
        <v>0</v>
      </c>
      <c r="AK49">
        <f>'附件4 规划外'!R74</f>
        <v>0</v>
      </c>
    </row>
    <row r="50" spans="20:37">
      <c r="T50">
        <f>'附件4 规划外'!A75</f>
        <v>85</v>
      </c>
      <c r="U50" t="str">
        <f>'附件4 规划外'!B75</f>
        <v>开封市马家河污水处理厂中水回用（二期）</v>
      </c>
      <c r="V50" t="str">
        <f>'附件4 规划外'!C75</f>
        <v>市政</v>
      </c>
      <c r="W50" t="str">
        <f>'附件4 规划外'!D75</f>
        <v>位于城乡一体化示范区内，管线范围包括一大街（宋城路-晋安路）、九大街（晋安路-东京大道）、晋安路（一大街-十二大街）、东京大道（一大街-十二大街）。中水管道采用管径为DN1000的球墨铸铁管道，管道附属设施包括阀门井、立式自动排气阀、蝶阀、架空段可滑移支座、标志带。本次设计中水管道主要用于碧水河、秀溪河、晋安河绿化用水及秀溪河湿地、马家河湿地补水。管道完善后，水泵长期运行，在最下游设置电磁阀控制。</v>
      </c>
      <c r="X50">
        <f>'附件4 规划外'!E75</f>
        <v>10000</v>
      </c>
      <c r="Y50">
        <f>'附件4 规划外'!F75</f>
        <v>9000</v>
      </c>
      <c r="Z50">
        <f>'附件4 规划外'!G75</f>
        <v>1000</v>
      </c>
      <c r="AA50">
        <f>'附件4 规划外'!H75</f>
        <v>0</v>
      </c>
      <c r="AB50" t="str">
        <f>'附件4 规划外'!I75</f>
        <v>在建</v>
      </c>
      <c r="AC50">
        <f>'附件4 规划外'!J75</f>
        <v>9150</v>
      </c>
      <c r="AD50">
        <f>'附件4 规划外'!K75</f>
        <v>150</v>
      </c>
      <c r="AE50" t="str">
        <f>'附件4 规划外'!L75</f>
        <v>完成95%</v>
      </c>
      <c r="AF50" s="26">
        <f>'附件4 规划外'!M75</f>
        <v>44228</v>
      </c>
      <c r="AG50" s="26">
        <f>'附件4 规划外'!N75</f>
        <v>44835</v>
      </c>
      <c r="AH50" t="str">
        <f>'附件4 规划外'!O75</f>
        <v>市城管局</v>
      </c>
      <c r="AI50" t="str">
        <f>'附件4 规划外'!P75</f>
        <v>城乡一体化示范区</v>
      </c>
      <c r="AJ50">
        <f>'附件4 规划外'!Q75</f>
        <v>0</v>
      </c>
      <c r="AK50">
        <f>'附件4 规划外'!R75</f>
        <v>0</v>
      </c>
    </row>
    <row r="51" spans="20:37">
      <c r="T51">
        <f>'附件4 规划外'!A76</f>
        <v>86</v>
      </c>
      <c r="U51" t="str">
        <f>'附件4 规划外'!B76</f>
        <v>示范区基础设施维修项目</v>
      </c>
      <c r="V51" t="str">
        <f>'附件4 规划外'!C76</f>
        <v>市政</v>
      </c>
      <c r="W51" t="str">
        <f>'附件4 规划外'!D76</f>
        <v>修复陇海铁路至宋城路金明大道路面绿化及侧平石、集英街至一大街宋城路慢车道人行道、维修各办事处上报损毁背街、</v>
      </c>
      <c r="X51">
        <f>'附件4 规划外'!E76</f>
        <v>3531</v>
      </c>
      <c r="Y51">
        <f>'附件4 规划外'!F76</f>
        <v>0</v>
      </c>
      <c r="Z51">
        <f>'附件4 规划外'!G76</f>
        <v>3531</v>
      </c>
      <c r="AA51">
        <f>'附件4 规划外'!H76</f>
        <v>0</v>
      </c>
      <c r="AB51" t="str">
        <f>'附件4 规划外'!I76</f>
        <v>完工</v>
      </c>
      <c r="AC51">
        <f>'附件4 规划外'!J76</f>
        <v>3531</v>
      </c>
      <c r="AD51">
        <f>'附件4 规划外'!K76</f>
        <v>3531</v>
      </c>
      <c r="AE51" t="str">
        <f>'附件4 规划外'!L76</f>
        <v>已完工</v>
      </c>
      <c r="AF51" s="26">
        <f>'附件4 规划外'!M76</f>
        <v>44562</v>
      </c>
      <c r="AG51" s="26">
        <f>'附件4 规划外'!N76</f>
        <v>44805</v>
      </c>
      <c r="AH51" t="str">
        <f>'附件4 规划外'!O76</f>
        <v>市城管局</v>
      </c>
      <c r="AI51" t="str">
        <f>'附件4 规划外'!P76</f>
        <v>城乡一体化示范区</v>
      </c>
      <c r="AJ51">
        <f>'附件4 规划外'!Q76</f>
        <v>0</v>
      </c>
      <c r="AK51">
        <f>'附件4 规划外'!R76</f>
        <v>0</v>
      </c>
    </row>
    <row r="52" spans="20:37">
      <c r="T52">
        <f>'附件4 规划外'!A77</f>
        <v>87</v>
      </c>
      <c r="U52" t="str">
        <f>'附件4 规划外'!B77</f>
        <v>黑池水源地生态保护水毁修复工程</v>
      </c>
      <c r="V52" t="str">
        <f>'附件4 规划外'!C77</f>
        <v>市政</v>
      </c>
      <c r="W52" t="str">
        <f>'附件4 规划外'!D77</f>
        <v>水源地保护生态公益林、水源地清淤维护道路</v>
      </c>
      <c r="X52">
        <f>'附件4 规划外'!E77</f>
        <v>1500</v>
      </c>
      <c r="Y52">
        <f>'附件4 规划外'!F77</f>
        <v>1500</v>
      </c>
      <c r="Z52">
        <f>'附件4 规划外'!G77</f>
        <v>0</v>
      </c>
      <c r="AA52">
        <f>'附件4 规划外'!H77</f>
        <v>0</v>
      </c>
      <c r="AB52" t="str">
        <f>'附件4 规划外'!I77</f>
        <v>完工</v>
      </c>
      <c r="AC52">
        <f>'附件4 规划外'!J77</f>
        <v>1500</v>
      </c>
      <c r="AD52" t="str">
        <f>'附件4 规划外'!K77</f>
        <v/>
      </c>
      <c r="AE52" t="str">
        <f>'附件4 规划外'!L77</f>
        <v>已完工</v>
      </c>
      <c r="AF52" s="26">
        <f>'附件4 规划外'!M77</f>
        <v>44470</v>
      </c>
      <c r="AG52" s="26">
        <f>'附件4 规划外'!N77</f>
        <v>44531</v>
      </c>
      <c r="AH52" t="str">
        <f>'附件4 规划外'!O77</f>
        <v>市城管局</v>
      </c>
      <c r="AI52" t="str">
        <f>'附件4 规划外'!P77</f>
        <v>城乡一体化示范区</v>
      </c>
      <c r="AJ52">
        <f>'附件4 规划外'!Q77</f>
        <v>0</v>
      </c>
      <c r="AK52">
        <f>'附件4 规划外'!R77</f>
        <v>0</v>
      </c>
    </row>
    <row r="53" spans="20:37">
      <c r="T53">
        <f>'附件4 规划外'!A78</f>
        <v>88</v>
      </c>
      <c r="U53" t="str">
        <f>'附件4 规划外'!B78</f>
        <v>示范区城市支路完善工程</v>
      </c>
      <c r="V53" t="str">
        <f>'附件4 规划外'!C78</f>
        <v>市政</v>
      </c>
      <c r="W53" t="str">
        <f>'附件4 规划外'!D78</f>
        <v>该项目主要建设六大街西侧(宋城路至魏都路段)，金明池小学东侧规划路(复兴大道至职教路)及中央公园周边(七大街与魏都路交叉口南)道路完善工程。其中六大街西侧道路总长约800米，宽度约18米，主要包括人行道和慢车道的行道树、绿化带完善，雨污水、排管完善等工程:金明池小学大门东侧规划道路总长约450米，宽度约20米，双向单车道，主要包括机动车道路、慢车道、人行道的绿化和道路排管完善工程:中央公园周边道路总长约240米，宽度约30米的双向单道路，并在两侧布置运动健身步道、设置防护绿带等。</v>
      </c>
      <c r="X53">
        <f>'附件4 规划外'!E78</f>
        <v>3000</v>
      </c>
      <c r="Y53">
        <f>'附件4 规划外'!F78</f>
        <v>3000</v>
      </c>
      <c r="Z53">
        <f>'附件4 规划外'!G78</f>
        <v>0</v>
      </c>
      <c r="AA53">
        <f>'附件4 规划外'!H78</f>
        <v>0</v>
      </c>
      <c r="AB53" t="str">
        <f>'附件4 规划外'!I78</f>
        <v>完工</v>
      </c>
      <c r="AC53">
        <f>'附件4 规划外'!J78</f>
        <v>3000</v>
      </c>
      <c r="AD53" t="str">
        <f>'附件4 规划外'!K78</f>
        <v/>
      </c>
      <c r="AE53" t="str">
        <f>'附件4 规划外'!L78</f>
        <v>已完工</v>
      </c>
      <c r="AF53" s="26">
        <f>'附件4 规划外'!M78</f>
        <v>44317</v>
      </c>
      <c r="AG53" s="26">
        <f>'附件4 规划外'!N78</f>
        <v>44531</v>
      </c>
      <c r="AH53" t="str">
        <f>'附件4 规划外'!O78</f>
        <v>市城管局</v>
      </c>
      <c r="AI53" t="str">
        <f>'附件4 规划外'!P78</f>
        <v>城乡一体化示范区</v>
      </c>
      <c r="AJ53">
        <f>'附件4 规划外'!Q78</f>
        <v>0</v>
      </c>
      <c r="AK53">
        <f>'附件4 规划外'!R78</f>
        <v>0</v>
      </c>
    </row>
    <row r="54" spans="20:37">
      <c r="T54">
        <f>'附件4 规划外'!A79</f>
        <v>89</v>
      </c>
      <c r="U54" t="str">
        <f>'附件4 规划外'!B79</f>
        <v>金明大道北延项目</v>
      </c>
      <c r="V54" t="str">
        <f>'附件4 规划外'!C79</f>
        <v>市政</v>
      </c>
      <c r="W54" t="str">
        <f>'附件4 规划外'!D79</f>
        <v>位于开封城区以北水稻乡境内，项目南起稻四路，北至黄河大堤堤顶路，项目总长约3公里，红线宽度60米，建设内容包含：道路、排水、电气、交安、绿化、电力排管等</v>
      </c>
      <c r="X54">
        <f>'附件4 规划外'!E79</f>
        <v>19500</v>
      </c>
      <c r="Y54">
        <f>'附件4 规划外'!F79</f>
        <v>13000</v>
      </c>
      <c r="Z54">
        <f>'附件4 规划外'!G79</f>
        <v>6500</v>
      </c>
      <c r="AA54">
        <f>'附件4 规划外'!H79</f>
        <v>0</v>
      </c>
      <c r="AB54" t="str">
        <f>'附件4 规划外'!I79</f>
        <v>完工</v>
      </c>
      <c r="AC54">
        <f>'附件4 规划外'!J79</f>
        <v>19500</v>
      </c>
      <c r="AD54">
        <f>'附件4 规划外'!K79</f>
        <v>6500</v>
      </c>
      <c r="AE54" t="str">
        <f>'附件4 规划外'!L79</f>
        <v>已完工</v>
      </c>
      <c r="AF54" s="26">
        <f>'附件4 规划外'!M79</f>
        <v>44256</v>
      </c>
      <c r="AG54" s="26">
        <f>'附件4 规划外'!N79</f>
        <v>44682</v>
      </c>
      <c r="AH54" t="str">
        <f>'附件4 规划外'!O79</f>
        <v>市城管局</v>
      </c>
      <c r="AI54" t="str">
        <f>'附件4 规划外'!P79</f>
        <v>城乡一体化示范区</v>
      </c>
      <c r="AJ54">
        <f>'附件4 规划外'!Q79</f>
        <v>0</v>
      </c>
      <c r="AK54">
        <f>'附件4 规划外'!R79</f>
        <v>0</v>
      </c>
    </row>
    <row r="55" spans="32:33">
      <c r="AF55" s="26"/>
      <c r="AG55" s="26"/>
    </row>
  </sheetData>
  <sheetProtection sheet="1" formatCells="0" formatColumns="0" formatRows="0" sort="0" autoFilter="0" objects="1" scenarios="1"/>
  <autoFilter ref="A6:AK54">
    <extLst/>
  </autoFilter>
  <mergeCells count="5">
    <mergeCell ref="A1:G1"/>
    <mergeCell ref="H1:N1"/>
    <mergeCell ref="O1:U1"/>
    <mergeCell ref="A5:R5"/>
    <mergeCell ref="T5:AK5"/>
  </mergeCell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2"/>
  <sheetViews>
    <sheetView zoomScale="90" zoomScaleNormal="90" workbookViewId="0">
      <pane ySplit="6" topLeftCell="A7" activePane="bottomLeft" state="frozen"/>
      <selection/>
      <selection pane="bottomLeft" activeCell="Q16" sqref="Q16"/>
    </sheetView>
  </sheetViews>
  <sheetFormatPr defaultColWidth="9" defaultRowHeight="13.5"/>
  <cols>
    <col min="13" max="14" width="11.9083333333333" customWidth="1"/>
    <col min="32" max="33" width="10.9083333333333" customWidth="1"/>
  </cols>
  <sheetData>
    <row r="1" ht="14.15" customHeight="1" spans="1:21">
      <c r="A1" s="2" t="s">
        <v>1267</v>
      </c>
      <c r="B1" s="3"/>
      <c r="C1" s="3"/>
      <c r="D1" s="3"/>
      <c r="E1" s="3"/>
      <c r="F1" s="3"/>
      <c r="G1" s="4"/>
      <c r="H1" s="5" t="s">
        <v>1268</v>
      </c>
      <c r="I1" s="5"/>
      <c r="J1" s="5"/>
      <c r="K1" s="5"/>
      <c r="L1" s="5"/>
      <c r="M1" s="5"/>
      <c r="N1" s="5"/>
      <c r="O1" s="16" t="s">
        <v>1269</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7</v>
      </c>
      <c r="C3" s="10">
        <f t="shared" ref="C3:F4" si="0">J3+Q3</f>
        <v>679</v>
      </c>
      <c r="D3" s="10">
        <f t="shared" si="0"/>
        <v>7</v>
      </c>
      <c r="E3" s="10">
        <f t="shared" si="0"/>
        <v>6</v>
      </c>
      <c r="F3" s="10">
        <f t="shared" si="0"/>
        <v>672.6759</v>
      </c>
      <c r="G3" s="11">
        <f>IF(C3=0,"-",ROUND(F3/C3,3))</f>
        <v>0.991</v>
      </c>
      <c r="H3" s="8" t="s">
        <v>1146</v>
      </c>
      <c r="I3" s="17">
        <f>COUNT(E7:E122)</f>
        <v>6</v>
      </c>
      <c r="J3" s="21">
        <f>SUM(E7:E122)</f>
        <v>356</v>
      </c>
      <c r="K3" s="21">
        <f>COUNTIF(I7:I122,"在建")+COUNTIF(I7:I122,"完工")</f>
        <v>6</v>
      </c>
      <c r="L3" s="21">
        <f>COUNTIF(I7:I122,"完工")</f>
        <v>5</v>
      </c>
      <c r="M3" s="17">
        <f>SUM(J7:J122)</f>
        <v>349.6759</v>
      </c>
      <c r="N3" s="22">
        <f>IF(J3=0,"-",ROUND(M3/J3,3))</f>
        <v>0.982</v>
      </c>
      <c r="O3" s="19" t="s">
        <v>1146</v>
      </c>
      <c r="P3" s="20">
        <f>COUNT(X7:X122)</f>
        <v>1</v>
      </c>
      <c r="Q3" s="24">
        <f>SUM(X7:X122)</f>
        <v>323</v>
      </c>
      <c r="R3" s="24">
        <f>COUNTIF(AB7:AB122,"在建")+COUNTIF(AB7:AB122,"完工")</f>
        <v>1</v>
      </c>
      <c r="S3" s="24">
        <f>COUNTIF(AB7:AB122,"完工")</f>
        <v>1</v>
      </c>
      <c r="T3" s="20">
        <f>SUM(AC7:AC122)</f>
        <v>323</v>
      </c>
      <c r="U3" s="25">
        <f>IF(Q3=0,"-",ROUND(T3/Q3,3))</f>
        <v>1</v>
      </c>
    </row>
    <row r="4" s="1" customFormat="1" ht="27" spans="1:21">
      <c r="A4" s="9" t="s">
        <v>1147</v>
      </c>
      <c r="B4" s="10">
        <f>I4+P4</f>
        <v>7</v>
      </c>
      <c r="C4" s="10">
        <f t="shared" si="0"/>
        <v>630.647</v>
      </c>
      <c r="D4" s="10">
        <f t="shared" si="0"/>
        <v>7</v>
      </c>
      <c r="E4" s="10">
        <f t="shared" si="0"/>
        <v>6</v>
      </c>
      <c r="F4" s="10">
        <f t="shared" si="0"/>
        <v>624.3229</v>
      </c>
      <c r="G4" s="12">
        <f>IF(C4=0,"-",ROUND(F4/C4,3))</f>
        <v>0.99</v>
      </c>
      <c r="H4" s="8" t="s">
        <v>1148</v>
      </c>
      <c r="I4" s="17">
        <f>COUNTIF(G7:G122,"&gt;0")</f>
        <v>6</v>
      </c>
      <c r="J4" s="21">
        <f>SUM(G7:G122)</f>
        <v>307.647</v>
      </c>
      <c r="K4" s="21">
        <f>COUNTIFS(G7:G122,"&gt;0",I7:I122,"完工")+COUNTIFS(G7:G122,"&gt;0",I7:I122,"在建")</f>
        <v>6</v>
      </c>
      <c r="L4" s="21">
        <f>COUNTIFS(G7:G122,"&gt;0",I7:I122,"完工")</f>
        <v>5</v>
      </c>
      <c r="M4" s="17">
        <f>SUM(K7:K122)</f>
        <v>301.3229</v>
      </c>
      <c r="N4" s="22">
        <f>IF(J4=0,"-",ROUND(M4/J4,3))</f>
        <v>0.979</v>
      </c>
      <c r="O4" s="19" t="s">
        <v>1148</v>
      </c>
      <c r="P4" s="20">
        <f>COUNTIF(Z7:Z122,"&gt;0")</f>
        <v>1</v>
      </c>
      <c r="Q4" s="24">
        <f>SUM(Z7:Z122)</f>
        <v>323</v>
      </c>
      <c r="R4" s="24">
        <f>COUNTIFS(Z7:Z122,"&gt;0",AB7:AB122,"完工")+COUNTIFS(Z7:Z122,"&gt;0",AB7:AB122,"在建")</f>
        <v>1</v>
      </c>
      <c r="S4" s="24">
        <f>COUNTIFS(Z7:Z122,"&gt;0",AB7:AB122,"完工")</f>
        <v>1</v>
      </c>
      <c r="T4" s="20">
        <f>SUM(AD7:AD122)</f>
        <v>323</v>
      </c>
      <c r="U4" s="25">
        <f>IF(Q4=0,"-",ROUND(T4/Q4,3))</f>
        <v>1</v>
      </c>
    </row>
    <row r="5" s="1" customFormat="1" spans="1:37">
      <c r="A5" s="13" t="s">
        <v>1270</v>
      </c>
      <c r="B5" s="14"/>
      <c r="C5" s="14"/>
      <c r="D5" s="14"/>
      <c r="E5" s="14"/>
      <c r="F5" s="14"/>
      <c r="G5" s="14"/>
      <c r="H5" s="14"/>
      <c r="I5" s="14"/>
      <c r="J5" s="14"/>
      <c r="K5" s="14"/>
      <c r="L5" s="14"/>
      <c r="M5" s="14"/>
      <c r="N5" s="14"/>
      <c r="O5" s="14"/>
      <c r="P5" s="14"/>
      <c r="Q5" s="14"/>
      <c r="R5" s="14"/>
      <c r="T5" s="13" t="s">
        <v>1271</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规划内'!A225</f>
        <v>206</v>
      </c>
      <c r="B7" t="str">
        <f>'附件3 规划内'!B225</f>
        <v>开封公共图书馆灾后修复重建项目</v>
      </c>
      <c r="C7" t="str">
        <f>'附件3 规划内'!C225</f>
        <v>公共文化</v>
      </c>
      <c r="D7" t="str">
        <f>'附件3 规划内'!D225</f>
        <v>尉氏县图书馆：因漏雨损毁的房顶需全部重新防水、修复室内外墙面以及脱落吊顶</v>
      </c>
      <c r="E7">
        <f>'附件3 规划内'!E225</f>
        <v>20</v>
      </c>
      <c r="F7">
        <f>'附件3 规划内'!F225</f>
        <v>2.076</v>
      </c>
      <c r="G7">
        <f>'附件3 规划内'!G225</f>
        <v>17.924</v>
      </c>
      <c r="H7">
        <f>'附件3 规划内'!H225</f>
        <v>0</v>
      </c>
      <c r="I7" t="str">
        <f>'附件3 规划内'!I225</f>
        <v>在建</v>
      </c>
      <c r="J7">
        <f>'附件3 规划内'!J225</f>
        <v>13.6759</v>
      </c>
      <c r="K7">
        <f>'附件3 规划内'!K225</f>
        <v>11.5999</v>
      </c>
      <c r="L7" t="str">
        <f>'附件3 规划内'!L225</f>
        <v>正在进行基础修复</v>
      </c>
      <c r="M7" s="26">
        <f>'附件3 规划内'!M225</f>
        <v>44500</v>
      </c>
      <c r="N7" s="26">
        <f>'附件3 规划内'!N225</f>
        <v>45261</v>
      </c>
      <c r="O7" t="str">
        <f>'附件3 规划内'!O225</f>
        <v>市文化广电旅游局</v>
      </c>
      <c r="P7" t="str">
        <f>'附件3 规划内'!P225</f>
        <v>尉氏县</v>
      </c>
      <c r="Q7">
        <f>'附件3 规划内'!Q225</f>
        <v>0</v>
      </c>
      <c r="R7" t="str">
        <f>'附件3 规划内'!R225</f>
        <v>2023年8月底前 公共图书馆</v>
      </c>
      <c r="T7">
        <f>'附件4 规划外'!A112</f>
        <v>125</v>
      </c>
      <c r="U7" t="str">
        <f>'附件4 规划外'!B112</f>
        <v>开封市图书馆灾后修复项目</v>
      </c>
      <c r="V7" t="str">
        <f>'附件4 规划外'!C112</f>
        <v>公共文化</v>
      </c>
      <c r="W7" t="str">
        <f>'附件4 规划外'!D112</f>
        <v>项目主要包含城市书房整修提升，包括线路整修、墙体粉刷，漏雨修复提升，设备的更换（高频安全门、高频自助借还机、自助办证机等）、书籍的更换更新，涉及寻宋书房、青霞书房、禹见书房、开元书房等城市书房。</v>
      </c>
      <c r="X7">
        <f>'附件4 规划外'!E112</f>
        <v>323</v>
      </c>
      <c r="Y7">
        <f>'附件4 规划外'!F112</f>
        <v>0</v>
      </c>
      <c r="Z7">
        <f>'附件4 规划外'!G112</f>
        <v>323</v>
      </c>
      <c r="AA7">
        <f>'附件4 规划外'!H112</f>
        <v>0</v>
      </c>
      <c r="AB7" t="str">
        <f>'附件4 规划外'!I112</f>
        <v>完工</v>
      </c>
      <c r="AC7">
        <f>'附件4 规划外'!J112</f>
        <v>323</v>
      </c>
      <c r="AD7">
        <f>'附件4 规划外'!K112</f>
        <v>323</v>
      </c>
      <c r="AE7" t="str">
        <f>'附件4 规划外'!L112</f>
        <v>青霞书房完成了房屋的线路改造、墙体粉刷、书架书籍的更换，以及高频安全门、高频自助借还E型、自助办证E型、自助还书箱等设备的更新更换，更新图书4390册；禹见书房完成了房屋整修，自助借还设备的添置，并更新图书2629册；寻宋书房完成了房屋的线路整修、书架更换、图书更新；开元书房、宣和书房、朝曦书房等书房也均完成了房屋的维修提升、设备的更换、书籍更新。</v>
      </c>
      <c r="AF7" s="26">
        <f>'附件4 规划外'!M112</f>
        <v>44440</v>
      </c>
      <c r="AG7" s="26">
        <f>'附件4 规划外'!N112</f>
        <v>44742</v>
      </c>
      <c r="AH7" t="str">
        <f>'附件4 规划外'!O112</f>
        <v>市文化广电旅游局</v>
      </c>
      <c r="AI7" t="str">
        <f>'附件4 规划外'!P112</f>
        <v>市本级</v>
      </c>
      <c r="AJ7">
        <f>'附件4 规划外'!Q112</f>
        <v>0</v>
      </c>
      <c r="AK7">
        <f>'附件4 规划外'!R112</f>
        <v>0</v>
      </c>
    </row>
    <row r="8" spans="1:18">
      <c r="A8">
        <f>'附件3 规划内'!A226</f>
        <v>207</v>
      </c>
      <c r="B8" t="str">
        <f>'附件3 规划内'!B226</f>
        <v>开封文化馆灾后修复重建项目</v>
      </c>
      <c r="C8" t="str">
        <f>'附件3 规划内'!C226</f>
        <v>公共文化</v>
      </c>
      <c r="D8" t="str">
        <f>'附件3 规划内'!D226</f>
        <v>尉氏县文化活动室浸水；文化馆屋顶漏水；需重新装修文化活动室，修复屋顶。</v>
      </c>
      <c r="E8">
        <f>'附件3 规划内'!E226</f>
        <v>10</v>
      </c>
      <c r="F8">
        <f>'附件3 规划内'!F226</f>
        <v>2.247</v>
      </c>
      <c r="G8">
        <f>'附件3 规划内'!G226</f>
        <v>7.753</v>
      </c>
      <c r="H8">
        <f>'附件3 规划内'!H226</f>
        <v>0</v>
      </c>
      <c r="I8" t="str">
        <f>'附件3 规划内'!I226</f>
        <v>完工</v>
      </c>
      <c r="J8">
        <f>'附件3 规划内'!J226</f>
        <v>10</v>
      </c>
      <c r="K8">
        <f>'附件3 规划内'!K226</f>
        <v>7.753</v>
      </c>
      <c r="L8">
        <f>'附件3 规划内'!L226</f>
        <v>0</v>
      </c>
      <c r="M8" s="26">
        <f>'附件3 规划内'!M226</f>
        <v>44531</v>
      </c>
      <c r="N8" s="26" t="str">
        <f>'附件3 规划内'!N226</f>
        <v>2023年12月</v>
      </c>
      <c r="O8" t="str">
        <f>'附件3 规划内'!O226</f>
        <v>市文化广电旅游局</v>
      </c>
      <c r="P8" t="str">
        <f>'附件3 规划内'!P226</f>
        <v>尉氏县</v>
      </c>
      <c r="Q8">
        <f>'附件3 规划内'!Q226</f>
        <v>0</v>
      </c>
      <c r="R8" t="str">
        <f>'附件3 规划内'!R226</f>
        <v>2023年8月底前 文化馆</v>
      </c>
    </row>
    <row r="9" spans="1:18">
      <c r="A9">
        <f>'附件3 规划内'!A227</f>
        <v>208</v>
      </c>
      <c r="B9" t="str">
        <f>'附件3 规划内'!B227</f>
        <v>开封尉氏县文化站灾后重建</v>
      </c>
      <c r="C9" t="str">
        <f>'附件3 规划内'!C227</f>
        <v>公共文化</v>
      </c>
      <c r="D9" t="str">
        <f>'附件3 规划内'!D227</f>
        <v>庄头镇文化站在暴雨中地基下陷，需要重建，建设不低于1000平方米的文化广场，主体建设不低于1000平方米，内设多功能厅，图书室，培训教室 。</v>
      </c>
      <c r="E9">
        <f>'附件3 规划内'!E227</f>
        <v>5</v>
      </c>
      <c r="F9">
        <f>'附件3 规划内'!F227</f>
        <v>0</v>
      </c>
      <c r="G9">
        <f>'附件3 规划内'!G227</f>
        <v>5</v>
      </c>
      <c r="H9">
        <f>'附件3 规划内'!H227</f>
        <v>0</v>
      </c>
      <c r="I9" t="str">
        <f>'附件3 规划内'!I227</f>
        <v>完工</v>
      </c>
      <c r="J9">
        <f>'附件3 规划内'!J227</f>
        <v>5</v>
      </c>
      <c r="K9">
        <f>'附件3 规划内'!K227</f>
        <v>5</v>
      </c>
      <c r="L9">
        <f>'附件3 规划内'!L227</f>
        <v>0</v>
      </c>
      <c r="M9" s="26">
        <f>'附件3 规划内'!M227</f>
        <v>44650</v>
      </c>
      <c r="N9" s="26" t="str">
        <f>'附件3 规划内'!N227</f>
        <v>2023年12月</v>
      </c>
      <c r="O9" t="str">
        <f>'附件3 规划内'!O227</f>
        <v>市文化广电旅游局</v>
      </c>
      <c r="P9" t="str">
        <f>'附件3 规划内'!P227</f>
        <v>尉氏县</v>
      </c>
      <c r="Q9">
        <f>'附件3 规划内'!Q227</f>
        <v>0</v>
      </c>
      <c r="R9" t="str">
        <f>'附件3 规划内'!R227</f>
        <v>2023年8月底前 文化站修复</v>
      </c>
    </row>
    <row r="10" spans="1:18">
      <c r="A10">
        <f>'附件3 规划内'!A228</f>
        <v>209</v>
      </c>
      <c r="B10" t="str">
        <f>'附件3 规划内'!B228</f>
        <v>开封尉氏县综合性文化服务中心灾后修复项目</v>
      </c>
      <c r="C10" t="str">
        <f>'附件3 规划内'!C228</f>
        <v>公共文化</v>
      </c>
      <c r="D10" t="str">
        <f>'附件3 规划内'!D228</f>
        <v>尉氏县共有295个村级文化广场在暴雨中被水淹，冲毁，需要对文化广场进行修复重建。每个文化广场建设管理用房30平方。</v>
      </c>
      <c r="E10">
        <f>'附件3 规划内'!E228</f>
        <v>295</v>
      </c>
      <c r="F10">
        <f>'附件3 规划内'!F228</f>
        <v>44</v>
      </c>
      <c r="G10">
        <f>'附件3 规划内'!G228</f>
        <v>251</v>
      </c>
      <c r="H10">
        <f>'附件3 规划内'!H228</f>
        <v>0</v>
      </c>
      <c r="I10" t="str">
        <f>'附件3 规划内'!I228</f>
        <v>完工</v>
      </c>
      <c r="J10">
        <f>'附件3 规划内'!J228</f>
        <v>295</v>
      </c>
      <c r="K10">
        <f>'附件3 规划内'!K228</f>
        <v>251</v>
      </c>
      <c r="L10">
        <f>'附件3 规划内'!L228</f>
        <v>0</v>
      </c>
      <c r="M10" s="26">
        <f>'附件3 规划内'!M228</f>
        <v>44490</v>
      </c>
      <c r="N10" s="26">
        <f>'附件3 规划内'!N228</f>
        <v>45261</v>
      </c>
      <c r="O10" t="str">
        <f>'附件3 规划内'!O228</f>
        <v>市文化广电旅游局</v>
      </c>
      <c r="P10" t="str">
        <f>'附件3 规划内'!P228</f>
        <v>尉氏县</v>
      </c>
      <c r="Q10">
        <f>'附件3 规划内'!Q228</f>
        <v>0</v>
      </c>
      <c r="R10" t="str">
        <f>'附件3 规划内'!R228</f>
        <v>2023年8月底前 综合性文化服务中心灾后修复</v>
      </c>
    </row>
    <row r="11" spans="1:18">
      <c r="A11">
        <f>'附件3 规划内'!A229</f>
        <v>210</v>
      </c>
      <c r="B11" t="str">
        <f>'附件3 规划内'!B229</f>
        <v>尉氏县综合性文化服务中心灾后重建项目</v>
      </c>
      <c r="C11" t="str">
        <f>'附件3 规划内'!C229</f>
        <v>公共文化</v>
      </c>
      <c r="D11" t="str">
        <f>'附件3 规划内'!D229</f>
        <v>暴雨中文化活动室受损严重，地基下陷，墙体开裂。每村需重建300平方的文化活动室，1000平方的文化广场；（7个村）</v>
      </c>
      <c r="E11">
        <f>'附件3 规划内'!E229</f>
        <v>21</v>
      </c>
      <c r="F11">
        <f>'附件3 规划内'!F229</f>
        <v>0</v>
      </c>
      <c r="G11">
        <f>'附件3 规划内'!G229</f>
        <v>21</v>
      </c>
      <c r="H11">
        <f>'附件3 规划内'!H229</f>
        <v>0</v>
      </c>
      <c r="I11" t="str">
        <f>'附件3 规划内'!I229</f>
        <v>完工</v>
      </c>
      <c r="J11">
        <f>'附件3 规划内'!J229</f>
        <v>21</v>
      </c>
      <c r="K11">
        <f>'附件3 规划内'!K229</f>
        <v>21</v>
      </c>
      <c r="L11">
        <f>'附件3 规划内'!L229</f>
        <v>0</v>
      </c>
      <c r="M11" s="26">
        <f>'附件3 规划内'!M229</f>
        <v>44560</v>
      </c>
      <c r="N11" s="26">
        <f>'附件3 规划内'!N229</f>
        <v>45261</v>
      </c>
      <c r="O11" t="str">
        <f>'附件3 规划内'!O229</f>
        <v>市文化广电旅游局</v>
      </c>
      <c r="P11" t="str">
        <f>'附件3 规划内'!P229</f>
        <v>尉氏县</v>
      </c>
      <c r="Q11">
        <f>'附件3 规划内'!Q229</f>
        <v>0</v>
      </c>
      <c r="R11" t="str">
        <f>'附件3 规划内'!R229</f>
        <v>2023年8月底前 综合性文化服务中心灾后重建</v>
      </c>
    </row>
    <row r="12" spans="1:18">
      <c r="A12">
        <f>'附件3 规划内'!A230</f>
        <v>211</v>
      </c>
      <c r="B12" t="str">
        <f>'附件3 规划内'!B230</f>
        <v>开封尉氏智慧书房灾后修复重建项目</v>
      </c>
      <c r="C12" t="str">
        <f>'附件3 规划内'!C230</f>
        <v>公共文化</v>
      </c>
      <c r="D12" t="str">
        <f>'附件3 规划内'!D230</f>
        <v>受暴雨影响，书房房顶渗水，地板浸泡无法使用，电线受损。</v>
      </c>
      <c r="E12">
        <f>'附件3 规划内'!E230</f>
        <v>5</v>
      </c>
      <c r="F12">
        <f>'附件3 规划内'!F230</f>
        <v>0.03</v>
      </c>
      <c r="G12">
        <f>'附件3 规划内'!G230</f>
        <v>4.97</v>
      </c>
      <c r="H12">
        <f>'附件3 规划内'!H230</f>
        <v>0</v>
      </c>
      <c r="I12" t="str">
        <f>'附件3 规划内'!I230</f>
        <v>完工</v>
      </c>
      <c r="J12">
        <f>'附件3 规划内'!J230</f>
        <v>5</v>
      </c>
      <c r="K12">
        <f>'附件3 规划内'!K230</f>
        <v>4.97</v>
      </c>
      <c r="L12" t="str">
        <f>'附件3 规划内'!L230</f>
        <v>正在进行基础修复</v>
      </c>
      <c r="M12" s="26">
        <f>'附件3 规划内'!M230</f>
        <v>44560</v>
      </c>
      <c r="N12" s="26" t="str">
        <f>'附件3 规划内'!N230</f>
        <v>2023年12月</v>
      </c>
      <c r="O12" t="str">
        <f>'附件3 规划内'!O230</f>
        <v>市文化广电旅游局</v>
      </c>
      <c r="P12" t="str">
        <f>'附件3 规划内'!P230</f>
        <v>尉氏县</v>
      </c>
      <c r="Q12">
        <f>'附件3 规划内'!Q230</f>
        <v>0</v>
      </c>
      <c r="R12" t="str">
        <f>'附件3 规划内'!R230</f>
        <v>2023年8月底前 城市书房</v>
      </c>
    </row>
  </sheetData>
  <sheetProtection sheet="1" formatCells="0" formatColumns="0" formatRows="0" sort="0" autoFilter="0" objects="1" scenarios="1"/>
  <autoFilter ref="A6:AK12">
    <extLst/>
  </autoFilter>
  <mergeCells count="5">
    <mergeCell ref="A1:G1"/>
    <mergeCell ref="H1:N1"/>
    <mergeCell ref="O1:U1"/>
    <mergeCell ref="A5:R5"/>
    <mergeCell ref="T5:AK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52"/>
  <sheetViews>
    <sheetView topLeftCell="A16" workbookViewId="0">
      <selection activeCell="G25" sqref="G25"/>
    </sheetView>
  </sheetViews>
  <sheetFormatPr defaultColWidth="9" defaultRowHeight="13.5"/>
  <cols>
    <col min="1" max="1" width="6.63333333333333" customWidth="1"/>
    <col min="8" max="8" width="8.90833333333333" customWidth="1"/>
    <col min="12" max="12" width="9.90833333333333" customWidth="1"/>
    <col min="13" max="13" width="10.3666666666667" customWidth="1"/>
    <col min="15" max="15" width="11.45"/>
    <col min="23" max="41" width="9" hidden="1" customWidth="1"/>
  </cols>
  <sheetData>
    <row r="1" ht="22.5" spans="1:21">
      <c r="A1" s="47" t="s">
        <v>1095</v>
      </c>
      <c r="B1" s="47"/>
      <c r="C1" s="47"/>
      <c r="D1" s="47"/>
      <c r="E1" s="47"/>
      <c r="F1" s="47"/>
      <c r="G1" s="47"/>
      <c r="H1" s="47"/>
      <c r="I1" s="47"/>
      <c r="J1" s="47"/>
      <c r="K1" s="47"/>
      <c r="L1" s="47"/>
      <c r="M1" s="47"/>
      <c r="N1" s="47"/>
      <c r="O1" s="47"/>
      <c r="P1" s="47"/>
      <c r="Q1" s="47"/>
      <c r="R1" s="47"/>
      <c r="S1" s="47"/>
      <c r="T1" s="47"/>
      <c r="U1" s="47"/>
    </row>
    <row r="2" spans="1:21">
      <c r="A2" s="48" t="s">
        <v>1096</v>
      </c>
      <c r="B2" s="48"/>
      <c r="C2" s="48"/>
      <c r="D2" s="49"/>
      <c r="E2" s="49"/>
      <c r="F2" s="50" t="s">
        <v>1097</v>
      </c>
      <c r="G2" s="50"/>
      <c r="H2" s="50"/>
      <c r="I2" s="50" t="s">
        <v>1098</v>
      </c>
      <c r="J2" s="50"/>
      <c r="K2" s="50"/>
      <c r="L2" s="50" t="s">
        <v>1099</v>
      </c>
      <c r="M2" s="50"/>
      <c r="N2" s="50"/>
      <c r="O2" s="50"/>
      <c r="P2" s="50"/>
      <c r="Q2" s="50"/>
      <c r="R2" s="50"/>
      <c r="S2" s="50"/>
      <c r="T2" s="50"/>
      <c r="U2" s="81"/>
    </row>
    <row r="3" spans="1:41">
      <c r="A3" s="51" t="s">
        <v>0</v>
      </c>
      <c r="B3" s="51" t="s">
        <v>1100</v>
      </c>
      <c r="C3" s="52" t="s">
        <v>1101</v>
      </c>
      <c r="D3" s="53"/>
      <c r="E3" s="53"/>
      <c r="F3" s="53"/>
      <c r="G3" s="53"/>
      <c r="H3" s="154"/>
      <c r="I3" s="111" t="s">
        <v>1102</v>
      </c>
      <c r="J3" s="112"/>
      <c r="K3" s="112"/>
      <c r="L3" s="112"/>
      <c r="M3" s="112"/>
      <c r="N3" s="113"/>
      <c r="O3" s="160" t="s">
        <v>1103</v>
      </c>
      <c r="P3" s="161"/>
      <c r="Q3" s="161"/>
      <c r="R3" s="161"/>
      <c r="S3" s="161"/>
      <c r="T3" s="164"/>
      <c r="U3" s="82" t="s">
        <v>17</v>
      </c>
      <c r="W3" s="127"/>
      <c r="X3" s="132" t="s">
        <v>1101</v>
      </c>
      <c r="Y3" s="133"/>
      <c r="Z3" s="133"/>
      <c r="AA3" s="133"/>
      <c r="AB3" s="133"/>
      <c r="AC3" s="134"/>
      <c r="AD3" s="135" t="s">
        <v>1104</v>
      </c>
      <c r="AE3" s="136"/>
      <c r="AF3" s="136"/>
      <c r="AG3" s="136"/>
      <c r="AH3" s="136"/>
      <c r="AI3" s="143"/>
      <c r="AJ3" s="171" t="s">
        <v>1105</v>
      </c>
      <c r="AK3" s="148"/>
      <c r="AL3" s="148"/>
      <c r="AM3" s="148"/>
      <c r="AN3" s="172"/>
      <c r="AO3" s="172"/>
    </row>
    <row r="4" spans="1:41">
      <c r="A4" s="55"/>
      <c r="B4" s="55"/>
      <c r="C4" s="56" t="s">
        <v>1106</v>
      </c>
      <c r="D4" s="57"/>
      <c r="E4" s="56" t="s">
        <v>1107</v>
      </c>
      <c r="F4" s="56"/>
      <c r="G4" s="56"/>
      <c r="H4" s="56"/>
      <c r="I4" s="71" t="s">
        <v>1106</v>
      </c>
      <c r="J4" s="78"/>
      <c r="K4" s="71" t="s">
        <v>1107</v>
      </c>
      <c r="L4" s="71"/>
      <c r="M4" s="71"/>
      <c r="N4" s="71"/>
      <c r="O4" s="115" t="s">
        <v>1106</v>
      </c>
      <c r="P4" s="116"/>
      <c r="Q4" s="115" t="s">
        <v>1107</v>
      </c>
      <c r="R4" s="115"/>
      <c r="S4" s="115"/>
      <c r="T4" s="115"/>
      <c r="U4" s="83"/>
      <c r="W4" s="127"/>
      <c r="X4" s="137" t="s">
        <v>1108</v>
      </c>
      <c r="Y4" s="137"/>
      <c r="Z4" s="137" t="s">
        <v>1109</v>
      </c>
      <c r="AA4" s="137"/>
      <c r="AB4" s="138" t="s">
        <v>1110</v>
      </c>
      <c r="AC4" s="139"/>
      <c r="AD4" s="140" t="s">
        <v>1108</v>
      </c>
      <c r="AE4" s="140"/>
      <c r="AF4" s="140" t="s">
        <v>1109</v>
      </c>
      <c r="AG4" s="140"/>
      <c r="AH4" s="146" t="s">
        <v>1110</v>
      </c>
      <c r="AI4" s="147"/>
      <c r="AJ4" s="148" t="s">
        <v>1108</v>
      </c>
      <c r="AK4" s="148"/>
      <c r="AL4" s="148" t="s">
        <v>1109</v>
      </c>
      <c r="AM4" s="148"/>
      <c r="AN4" s="151" t="s">
        <v>1110</v>
      </c>
      <c r="AO4" s="152"/>
    </row>
    <row r="5" ht="48" spans="1:41">
      <c r="A5" s="58"/>
      <c r="B5" s="58"/>
      <c r="C5" s="56" t="s">
        <v>1111</v>
      </c>
      <c r="D5" s="56" t="s">
        <v>1112</v>
      </c>
      <c r="E5" s="56" t="s">
        <v>1113</v>
      </c>
      <c r="F5" s="56" t="s">
        <v>1114</v>
      </c>
      <c r="G5" s="56" t="s">
        <v>1115</v>
      </c>
      <c r="H5" s="56" t="s">
        <v>1116</v>
      </c>
      <c r="I5" s="71" t="s">
        <v>1111</v>
      </c>
      <c r="J5" s="71" t="s">
        <v>1112</v>
      </c>
      <c r="K5" s="71" t="s">
        <v>1113</v>
      </c>
      <c r="L5" s="71" t="s">
        <v>1114</v>
      </c>
      <c r="M5" s="71" t="s">
        <v>1115</v>
      </c>
      <c r="N5" s="71" t="s">
        <v>1116</v>
      </c>
      <c r="O5" s="115" t="s">
        <v>1111</v>
      </c>
      <c r="P5" s="115" t="s">
        <v>1112</v>
      </c>
      <c r="Q5" s="115" t="s">
        <v>1113</v>
      </c>
      <c r="R5" s="115" t="s">
        <v>1114</v>
      </c>
      <c r="S5" s="115" t="s">
        <v>1115</v>
      </c>
      <c r="T5" s="165" t="s">
        <v>1116</v>
      </c>
      <c r="U5" s="84"/>
      <c r="W5" s="127"/>
      <c r="X5" s="127" t="s">
        <v>1117</v>
      </c>
      <c r="Y5" s="127" t="s">
        <v>1118</v>
      </c>
      <c r="Z5" s="127" t="s">
        <v>1117</v>
      </c>
      <c r="AA5" s="127" t="s">
        <v>1118</v>
      </c>
      <c r="AB5" s="141" t="s">
        <v>1119</v>
      </c>
      <c r="AC5" s="141" t="s">
        <v>1120</v>
      </c>
      <c r="AD5" s="142" t="s">
        <v>1117</v>
      </c>
      <c r="AE5" s="142" t="s">
        <v>1118</v>
      </c>
      <c r="AF5" s="142" t="s">
        <v>1117</v>
      </c>
      <c r="AG5" s="142" t="s">
        <v>1118</v>
      </c>
      <c r="AH5" s="149" t="s">
        <v>1119</v>
      </c>
      <c r="AI5" s="149" t="s">
        <v>1120</v>
      </c>
      <c r="AJ5" s="150" t="s">
        <v>1117</v>
      </c>
      <c r="AK5" s="150" t="s">
        <v>1118</v>
      </c>
      <c r="AL5" s="150" t="s">
        <v>1117</v>
      </c>
      <c r="AM5" s="150" t="s">
        <v>1118</v>
      </c>
      <c r="AN5" s="153" t="s">
        <v>1119</v>
      </c>
      <c r="AO5" s="153" t="s">
        <v>1120</v>
      </c>
    </row>
    <row r="6" spans="1:41">
      <c r="A6" s="59"/>
      <c r="B6" s="60" t="s">
        <v>1121</v>
      </c>
      <c r="C6" s="59">
        <f>SUM(C7:C17)</f>
        <v>223</v>
      </c>
      <c r="D6" s="59" t="e">
        <f>SUM(D7:D17)</f>
        <v>#REF!</v>
      </c>
      <c r="E6" s="59">
        <f>SUM(E7:E17)</f>
        <v>223</v>
      </c>
      <c r="F6" s="59">
        <f>SUM(F7:F17)</f>
        <v>127</v>
      </c>
      <c r="G6" s="59" t="e">
        <f>SUM(G7:G17)</f>
        <v>#REF!</v>
      </c>
      <c r="H6" s="110" t="e">
        <f>IF(D6=0,"-",ROUND(G6/D6,3))</f>
        <v>#REF!</v>
      </c>
      <c r="I6" s="117">
        <f>SUM(I7:I17)</f>
        <v>100</v>
      </c>
      <c r="J6" s="117">
        <f>SUM(J7:J17)</f>
        <v>179194.821972</v>
      </c>
      <c r="K6" s="117">
        <f>SUM(K7:K17)</f>
        <v>100</v>
      </c>
      <c r="L6" s="117">
        <f>SUM(L7:L17)</f>
        <v>75</v>
      </c>
      <c r="M6" s="117">
        <f>SUM(M7:M17)</f>
        <v>172942.807872</v>
      </c>
      <c r="N6" s="162">
        <f>IF(J6=0,"-",ROUND(M6/J6,3))</f>
        <v>0.965</v>
      </c>
      <c r="O6" s="119">
        <f>SUM(O7:O17)</f>
        <v>123</v>
      </c>
      <c r="P6" s="119" t="e">
        <f>SUM(P7:P17)</f>
        <v>#REF!</v>
      </c>
      <c r="Q6" s="119">
        <f>SUM(Q7:Q17)</f>
        <v>123</v>
      </c>
      <c r="R6" s="119">
        <f>SUM(R7:R17)</f>
        <v>52</v>
      </c>
      <c r="S6" s="119" t="e">
        <f>SUM(S7:S17)</f>
        <v>#REF!</v>
      </c>
      <c r="T6" s="166" t="e">
        <f>IF(P6=0,"-",ROUND(S6/P6,3))</f>
        <v>#REF!</v>
      </c>
      <c r="U6" s="85"/>
      <c r="W6" s="127" t="s">
        <v>1121</v>
      </c>
      <c r="X6" s="127">
        <v>191</v>
      </c>
      <c r="Y6" s="127">
        <v>687597.364072</v>
      </c>
      <c r="Z6" s="169">
        <v>193</v>
      </c>
      <c r="AA6" s="169">
        <v>695085.244072</v>
      </c>
      <c r="AB6" s="141">
        <f>X6-Z6</f>
        <v>-2</v>
      </c>
      <c r="AC6" s="141">
        <f>Y6-AA6</f>
        <v>-7487.88</v>
      </c>
      <c r="AD6" s="142">
        <v>97</v>
      </c>
      <c r="AE6" s="142">
        <v>171470.921972</v>
      </c>
      <c r="AF6" s="170">
        <v>100</v>
      </c>
      <c r="AG6" s="170">
        <v>179194.821972</v>
      </c>
      <c r="AH6" s="149">
        <f>AD6-AF6</f>
        <v>-3</v>
      </c>
      <c r="AI6" s="149">
        <f>AE6-AG6</f>
        <v>-7723.89999999999</v>
      </c>
      <c r="AJ6" s="150">
        <v>94</v>
      </c>
      <c r="AK6" s="150">
        <v>516126.4421</v>
      </c>
      <c r="AL6" s="173">
        <v>93</v>
      </c>
      <c r="AM6" s="173">
        <v>515890.4221</v>
      </c>
      <c r="AN6" s="153">
        <f>AJ6-AL6</f>
        <v>1</v>
      </c>
      <c r="AO6" s="153">
        <f>AK6-AM6</f>
        <v>236.01999999996</v>
      </c>
    </row>
    <row r="7" spans="1:41">
      <c r="A7" s="59">
        <v>1</v>
      </c>
      <c r="B7" s="63" t="s">
        <v>132</v>
      </c>
      <c r="C7" s="64">
        <f t="shared" ref="C7:G12" si="0">I7+O7</f>
        <v>27</v>
      </c>
      <c r="D7" s="64">
        <f t="shared" si="0"/>
        <v>74580.66</v>
      </c>
      <c r="E7" s="64">
        <f t="shared" si="0"/>
        <v>27</v>
      </c>
      <c r="F7" s="64">
        <f t="shared" si="0"/>
        <v>10</v>
      </c>
      <c r="G7" s="64">
        <f t="shared" si="0"/>
        <v>66798.63</v>
      </c>
      <c r="H7" s="110">
        <f t="shared" ref="H7:H12" si="1">IF(D7=0,"-",ROUND(G7/D7,3))</f>
        <v>0.896</v>
      </c>
      <c r="I7" s="65">
        <f>兰考!I4</f>
        <v>4</v>
      </c>
      <c r="J7" s="120">
        <f>兰考!J4</f>
        <v>10050.31</v>
      </c>
      <c r="K7" s="120">
        <f>兰考!K4</f>
        <v>4</v>
      </c>
      <c r="L7" s="120">
        <f>兰考!L4</f>
        <v>4</v>
      </c>
      <c r="M7" s="120">
        <f>兰考!M4</f>
        <v>10050.31</v>
      </c>
      <c r="N7" s="162">
        <f t="shared" ref="N7:N17" si="2">IF(J7=0,"-",ROUND(M7/J7,3))</f>
        <v>1</v>
      </c>
      <c r="O7" s="122">
        <f>兰考!P4</f>
        <v>23</v>
      </c>
      <c r="P7" s="122">
        <f>兰考!Q4</f>
        <v>64530.35</v>
      </c>
      <c r="Q7" s="122">
        <f>兰考!R4</f>
        <v>23</v>
      </c>
      <c r="R7" s="122">
        <f>兰考!S4</f>
        <v>6</v>
      </c>
      <c r="S7" s="122">
        <f>兰考!T4</f>
        <v>56748.32</v>
      </c>
      <c r="T7" s="166">
        <f t="shared" ref="T7:T17" si="3">IF(P7=0,"-",ROUND(S7/P7,3))</f>
        <v>0.879</v>
      </c>
      <c r="U7" s="86"/>
      <c r="W7" s="127" t="s">
        <v>132</v>
      </c>
      <c r="X7" s="127">
        <v>19</v>
      </c>
      <c r="Y7" s="127">
        <v>63925.66</v>
      </c>
      <c r="Z7" s="169">
        <v>19</v>
      </c>
      <c r="AA7" s="169">
        <v>63925.66</v>
      </c>
      <c r="AB7" s="141">
        <f t="shared" ref="AB7:AC12" si="4">X7-Z7</f>
        <v>0</v>
      </c>
      <c r="AC7" s="141">
        <f t="shared" si="4"/>
        <v>0</v>
      </c>
      <c r="AD7" s="142">
        <v>4</v>
      </c>
      <c r="AE7" s="142">
        <v>10050.31</v>
      </c>
      <c r="AF7" s="170">
        <v>4</v>
      </c>
      <c r="AG7" s="170">
        <v>10050.31</v>
      </c>
      <c r="AH7" s="149">
        <f t="shared" ref="AH7:AI12" si="5">AD7-AF7</f>
        <v>0</v>
      </c>
      <c r="AI7" s="149">
        <f t="shared" si="5"/>
        <v>0</v>
      </c>
      <c r="AJ7" s="150">
        <v>15</v>
      </c>
      <c r="AK7" s="150">
        <v>53875.35</v>
      </c>
      <c r="AL7" s="173">
        <v>15</v>
      </c>
      <c r="AM7" s="173">
        <v>53875.35</v>
      </c>
      <c r="AN7" s="153">
        <f t="shared" ref="AN7:AO12" si="6">AJ7-AL7</f>
        <v>0</v>
      </c>
      <c r="AO7" s="153">
        <f t="shared" si="6"/>
        <v>0</v>
      </c>
    </row>
    <row r="8" spans="1:41">
      <c r="A8" s="59">
        <v>2</v>
      </c>
      <c r="B8" s="63" t="s">
        <v>33</v>
      </c>
      <c r="C8" s="64">
        <f t="shared" si="0"/>
        <v>23</v>
      </c>
      <c r="D8" s="64">
        <f t="shared" si="0"/>
        <v>66839.2</v>
      </c>
      <c r="E8" s="64">
        <f t="shared" si="0"/>
        <v>23</v>
      </c>
      <c r="F8" s="64">
        <f t="shared" si="0"/>
        <v>13</v>
      </c>
      <c r="G8" s="64">
        <f t="shared" si="0"/>
        <v>59178.2</v>
      </c>
      <c r="H8" s="110">
        <f t="shared" si="1"/>
        <v>0.885</v>
      </c>
      <c r="I8" s="65">
        <f>杞县!I4</f>
        <v>17</v>
      </c>
      <c r="J8" s="120">
        <f>杞县!J4</f>
        <v>48611.2</v>
      </c>
      <c r="K8" s="120">
        <f>杞县!K4</f>
        <v>17</v>
      </c>
      <c r="L8" s="120">
        <f>杞县!L4</f>
        <v>10</v>
      </c>
      <c r="M8" s="120">
        <f>杞县!M4</f>
        <v>40119.2</v>
      </c>
      <c r="N8" s="162">
        <f t="shared" si="2"/>
        <v>0.825</v>
      </c>
      <c r="O8" s="121">
        <f>杞县!P4</f>
        <v>6</v>
      </c>
      <c r="P8" s="121">
        <f>杞县!Q4</f>
        <v>18228</v>
      </c>
      <c r="Q8" s="121">
        <f>杞县!R4</f>
        <v>6</v>
      </c>
      <c r="R8" s="121">
        <f>杞县!S4</f>
        <v>3</v>
      </c>
      <c r="S8" s="121">
        <f>杞县!T4</f>
        <v>19059</v>
      </c>
      <c r="T8" s="166">
        <f t="shared" si="3"/>
        <v>1.046</v>
      </c>
      <c r="U8" s="86"/>
      <c r="W8" s="127" t="s">
        <v>33</v>
      </c>
      <c r="X8" s="127">
        <v>20</v>
      </c>
      <c r="Y8" s="127">
        <v>65711.2</v>
      </c>
      <c r="Z8" s="169">
        <v>20</v>
      </c>
      <c r="AA8" s="169">
        <v>65711.2</v>
      </c>
      <c r="AB8" s="141">
        <f t="shared" si="4"/>
        <v>0</v>
      </c>
      <c r="AC8" s="141">
        <f t="shared" si="4"/>
        <v>0</v>
      </c>
      <c r="AD8" s="142">
        <v>17</v>
      </c>
      <c r="AE8" s="142">
        <v>48611.2</v>
      </c>
      <c r="AF8" s="170">
        <v>17</v>
      </c>
      <c r="AG8" s="170">
        <v>48611.2</v>
      </c>
      <c r="AH8" s="149">
        <f t="shared" si="5"/>
        <v>0</v>
      </c>
      <c r="AI8" s="149">
        <f t="shared" si="5"/>
        <v>0</v>
      </c>
      <c r="AJ8" s="150">
        <v>3</v>
      </c>
      <c r="AK8" s="150">
        <v>17100</v>
      </c>
      <c r="AL8" s="173">
        <v>3</v>
      </c>
      <c r="AM8" s="173">
        <v>17100</v>
      </c>
      <c r="AN8" s="153">
        <f t="shared" si="6"/>
        <v>0</v>
      </c>
      <c r="AO8" s="153">
        <f t="shared" si="6"/>
        <v>0</v>
      </c>
    </row>
    <row r="9" spans="1:41">
      <c r="A9" s="59">
        <v>3</v>
      </c>
      <c r="B9" s="63" t="s">
        <v>36</v>
      </c>
      <c r="C9" s="64">
        <f t="shared" si="0"/>
        <v>21</v>
      </c>
      <c r="D9" s="64">
        <f t="shared" si="0"/>
        <v>72049.8201</v>
      </c>
      <c r="E9" s="64">
        <f t="shared" si="0"/>
        <v>21</v>
      </c>
      <c r="F9" s="64">
        <f t="shared" si="0"/>
        <v>10</v>
      </c>
      <c r="G9" s="64">
        <f t="shared" si="0"/>
        <v>62913.646</v>
      </c>
      <c r="H9" s="110">
        <f t="shared" si="1"/>
        <v>0.873</v>
      </c>
      <c r="I9" s="65">
        <f>通许!I4</f>
        <v>3</v>
      </c>
      <c r="J9" s="120">
        <f>通许!J4</f>
        <v>11616.046</v>
      </c>
      <c r="K9" s="120">
        <f>通许!K4</f>
        <v>3</v>
      </c>
      <c r="L9" s="120">
        <f>通许!L4</f>
        <v>2</v>
      </c>
      <c r="M9" s="120">
        <f>通许!M4</f>
        <v>10061.886</v>
      </c>
      <c r="N9" s="162">
        <f t="shared" si="2"/>
        <v>0.866</v>
      </c>
      <c r="O9" s="122">
        <f>通许!P4</f>
        <v>18</v>
      </c>
      <c r="P9" s="122">
        <f>通许!Q4</f>
        <v>60433.7741</v>
      </c>
      <c r="Q9" s="122">
        <f>通许!R4</f>
        <v>18</v>
      </c>
      <c r="R9" s="122">
        <f>通许!S4</f>
        <v>8</v>
      </c>
      <c r="S9" s="122">
        <f>通许!T4</f>
        <v>52851.76</v>
      </c>
      <c r="T9" s="166">
        <f t="shared" si="3"/>
        <v>0.875</v>
      </c>
      <c r="U9" s="86"/>
      <c r="W9" s="127" t="s">
        <v>36</v>
      </c>
      <c r="X9" s="127">
        <v>17</v>
      </c>
      <c r="Y9" s="127">
        <v>68399.8201</v>
      </c>
      <c r="Z9" s="169">
        <v>17</v>
      </c>
      <c r="AA9" s="169">
        <v>68399.8201</v>
      </c>
      <c r="AB9" s="141">
        <f t="shared" si="4"/>
        <v>0</v>
      </c>
      <c r="AC9" s="141">
        <f t="shared" si="4"/>
        <v>0</v>
      </c>
      <c r="AD9" s="142">
        <v>3</v>
      </c>
      <c r="AE9" s="142">
        <v>11616.046</v>
      </c>
      <c r="AF9" s="170">
        <v>3</v>
      </c>
      <c r="AG9" s="170">
        <v>11616.046</v>
      </c>
      <c r="AH9" s="149">
        <f t="shared" si="5"/>
        <v>0</v>
      </c>
      <c r="AI9" s="149">
        <f t="shared" si="5"/>
        <v>0</v>
      </c>
      <c r="AJ9" s="150">
        <v>14</v>
      </c>
      <c r="AK9" s="150">
        <v>56783.7741</v>
      </c>
      <c r="AL9" s="173">
        <v>14</v>
      </c>
      <c r="AM9" s="173">
        <v>56783.7741</v>
      </c>
      <c r="AN9" s="153">
        <f t="shared" si="6"/>
        <v>0</v>
      </c>
      <c r="AO9" s="153">
        <f t="shared" si="6"/>
        <v>0</v>
      </c>
    </row>
    <row r="10" spans="1:41">
      <c r="A10" s="59">
        <v>4</v>
      </c>
      <c r="B10" s="63" t="s">
        <v>39</v>
      </c>
      <c r="C10" s="64">
        <f t="shared" si="0"/>
        <v>62</v>
      </c>
      <c r="D10" s="64">
        <f t="shared" si="0"/>
        <v>46370.565972</v>
      </c>
      <c r="E10" s="64">
        <f t="shared" si="0"/>
        <v>62</v>
      </c>
      <c r="F10" s="64">
        <f t="shared" si="0"/>
        <v>46</v>
      </c>
      <c r="G10" s="64">
        <f t="shared" si="0"/>
        <v>60277.911872</v>
      </c>
      <c r="H10" s="110">
        <f t="shared" si="1"/>
        <v>1.3</v>
      </c>
      <c r="I10" s="65">
        <f>尉氏!I4</f>
        <v>56</v>
      </c>
      <c r="J10" s="120">
        <f>尉氏!J4</f>
        <v>43177.765972</v>
      </c>
      <c r="K10" s="65">
        <f>尉氏!K4</f>
        <v>56</v>
      </c>
      <c r="L10" s="65">
        <f>尉氏!L4</f>
        <v>43</v>
      </c>
      <c r="M10" s="120">
        <f>尉氏!M4</f>
        <v>57926.911872</v>
      </c>
      <c r="N10" s="162">
        <f t="shared" si="2"/>
        <v>1.342</v>
      </c>
      <c r="O10" s="121">
        <f>尉氏!P4</f>
        <v>6</v>
      </c>
      <c r="P10" s="121">
        <f>尉氏!Q4</f>
        <v>3192.8</v>
      </c>
      <c r="Q10" s="121">
        <f>尉氏!R4</f>
        <v>6</v>
      </c>
      <c r="R10" s="121">
        <f>尉氏!S4</f>
        <v>3</v>
      </c>
      <c r="S10" s="121">
        <f>尉氏!T4</f>
        <v>2351</v>
      </c>
      <c r="T10" s="166">
        <f t="shared" si="3"/>
        <v>0.736</v>
      </c>
      <c r="U10" s="86"/>
      <c r="W10" s="127" t="s">
        <v>39</v>
      </c>
      <c r="X10" s="127">
        <v>55</v>
      </c>
      <c r="Y10" s="127">
        <v>37576.865972</v>
      </c>
      <c r="Z10" s="169">
        <v>57</v>
      </c>
      <c r="AA10" s="169">
        <v>43577.765972</v>
      </c>
      <c r="AB10" s="141">
        <f t="shared" si="4"/>
        <v>-2</v>
      </c>
      <c r="AC10" s="141">
        <f t="shared" si="4"/>
        <v>-6000.9</v>
      </c>
      <c r="AD10" s="142">
        <v>54</v>
      </c>
      <c r="AE10" s="142">
        <v>37176.865972</v>
      </c>
      <c r="AF10" s="170">
        <v>56</v>
      </c>
      <c r="AG10" s="170">
        <v>43177.765972</v>
      </c>
      <c r="AH10" s="149">
        <f t="shared" si="5"/>
        <v>-2</v>
      </c>
      <c r="AI10" s="149">
        <f t="shared" si="5"/>
        <v>-6000.9</v>
      </c>
      <c r="AJ10" s="150">
        <v>1</v>
      </c>
      <c r="AK10" s="150">
        <v>400</v>
      </c>
      <c r="AL10" s="173">
        <v>1</v>
      </c>
      <c r="AM10" s="173">
        <v>400</v>
      </c>
      <c r="AN10" s="153">
        <f t="shared" si="6"/>
        <v>0</v>
      </c>
      <c r="AO10" s="153">
        <f t="shared" si="6"/>
        <v>0</v>
      </c>
    </row>
    <row r="11" spans="1:41">
      <c r="A11" s="59">
        <v>5</v>
      </c>
      <c r="B11" s="63" t="s">
        <v>42</v>
      </c>
      <c r="C11" s="64">
        <f>I11+O11</f>
        <v>48</v>
      </c>
      <c r="D11" s="64">
        <f>J11+P11</f>
        <v>332781.788</v>
      </c>
      <c r="E11" s="64">
        <f>K11+Q11</f>
        <v>48</v>
      </c>
      <c r="F11" s="64">
        <f>L11+R11</f>
        <v>31</v>
      </c>
      <c r="G11" s="64">
        <f>M11+S11</f>
        <v>351310.588</v>
      </c>
      <c r="H11" s="110">
        <f t="shared" si="1"/>
        <v>1.056</v>
      </c>
      <c r="I11" s="65">
        <f>祥符!I4</f>
        <v>12</v>
      </c>
      <c r="J11" s="120">
        <f>祥符!J4</f>
        <v>61032.5</v>
      </c>
      <c r="K11" s="65">
        <f>祥符!K4</f>
        <v>12</v>
      </c>
      <c r="L11" s="65">
        <f>祥符!L4</f>
        <v>9</v>
      </c>
      <c r="M11" s="120">
        <f>祥符!M4</f>
        <v>50314.5</v>
      </c>
      <c r="N11" s="162">
        <f t="shared" si="2"/>
        <v>0.824</v>
      </c>
      <c r="O11" s="121">
        <f>祥符!P4</f>
        <v>36</v>
      </c>
      <c r="P11" s="122">
        <f>祥符!Q4</f>
        <v>271749.288</v>
      </c>
      <c r="Q11" s="121">
        <f>祥符!R4</f>
        <v>36</v>
      </c>
      <c r="R11" s="121">
        <f>祥符!S4</f>
        <v>22</v>
      </c>
      <c r="S11" s="122">
        <f>祥符!T4</f>
        <v>300996.088</v>
      </c>
      <c r="T11" s="166">
        <f t="shared" si="3"/>
        <v>1.108</v>
      </c>
      <c r="U11" s="85"/>
      <c r="W11" s="127" t="s">
        <v>42</v>
      </c>
      <c r="X11" s="127">
        <v>45</v>
      </c>
      <c r="Y11" s="127">
        <v>331748.788</v>
      </c>
      <c r="Z11" s="169">
        <v>45</v>
      </c>
      <c r="AA11" s="169">
        <v>331748.788</v>
      </c>
      <c r="AB11" s="141">
        <f>X11-Z11</f>
        <v>0</v>
      </c>
      <c r="AC11" s="141">
        <f>Y11-AA11</f>
        <v>0</v>
      </c>
      <c r="AD11" s="142">
        <v>11</v>
      </c>
      <c r="AE11" s="142">
        <v>59309.5</v>
      </c>
      <c r="AF11" s="170">
        <v>12</v>
      </c>
      <c r="AG11" s="170">
        <v>61032.5</v>
      </c>
      <c r="AH11" s="149">
        <f>AD11-AF11</f>
        <v>-1</v>
      </c>
      <c r="AI11" s="149">
        <f>AE11-AG11</f>
        <v>-1723</v>
      </c>
      <c r="AJ11" s="150">
        <v>34</v>
      </c>
      <c r="AK11" s="150">
        <v>272439.288</v>
      </c>
      <c r="AL11" s="173">
        <v>33</v>
      </c>
      <c r="AM11" s="173">
        <v>270716.288</v>
      </c>
      <c r="AN11" s="153">
        <f>AJ11-AL11</f>
        <v>1</v>
      </c>
      <c r="AO11" s="153">
        <f>AK11-AM11</f>
        <v>1723</v>
      </c>
    </row>
    <row r="12" ht="24" spans="1:41">
      <c r="A12" s="59">
        <v>6</v>
      </c>
      <c r="B12" s="106" t="s">
        <v>140</v>
      </c>
      <c r="C12" s="64">
        <f t="shared" si="0"/>
        <v>6</v>
      </c>
      <c r="D12" s="64">
        <f t="shared" si="0"/>
        <v>12214</v>
      </c>
      <c r="E12" s="64">
        <f t="shared" si="0"/>
        <v>6</v>
      </c>
      <c r="F12" s="64">
        <f t="shared" si="0"/>
        <v>4</v>
      </c>
      <c r="G12" s="64">
        <f t="shared" si="0"/>
        <v>10901</v>
      </c>
      <c r="H12" s="110">
        <f t="shared" si="1"/>
        <v>0.893</v>
      </c>
      <c r="I12" s="123">
        <f>示范区!I4</f>
        <v>1</v>
      </c>
      <c r="J12" s="123">
        <f>示范区!J4</f>
        <v>300</v>
      </c>
      <c r="K12" s="123">
        <f>示范区!K4</f>
        <v>1</v>
      </c>
      <c r="L12" s="123">
        <f>示范区!L4</f>
        <v>1</v>
      </c>
      <c r="M12" s="123">
        <f>示范区!M4</f>
        <v>300</v>
      </c>
      <c r="N12" s="162">
        <f t="shared" si="2"/>
        <v>1</v>
      </c>
      <c r="O12" s="121">
        <f>示范区!P4</f>
        <v>5</v>
      </c>
      <c r="P12" s="121">
        <f>示范区!Q4</f>
        <v>11914</v>
      </c>
      <c r="Q12" s="121">
        <f>示范区!R4</f>
        <v>5</v>
      </c>
      <c r="R12" s="121">
        <f>示范区!S4</f>
        <v>3</v>
      </c>
      <c r="S12" s="121">
        <f>示范区!T4</f>
        <v>10601</v>
      </c>
      <c r="T12" s="166">
        <f t="shared" si="3"/>
        <v>0.89</v>
      </c>
      <c r="U12" s="86"/>
      <c r="W12" s="127" t="s">
        <v>140</v>
      </c>
      <c r="X12" s="127">
        <v>4</v>
      </c>
      <c r="Y12" s="127">
        <v>11331</v>
      </c>
      <c r="Z12" s="169">
        <v>4</v>
      </c>
      <c r="AA12" s="169">
        <v>11331</v>
      </c>
      <c r="AB12" s="141">
        <f t="shared" si="4"/>
        <v>0</v>
      </c>
      <c r="AC12" s="141">
        <f t="shared" si="4"/>
        <v>0</v>
      </c>
      <c r="AD12" s="142">
        <v>1</v>
      </c>
      <c r="AE12" s="142">
        <v>300</v>
      </c>
      <c r="AF12" s="170">
        <v>1</v>
      </c>
      <c r="AG12" s="170">
        <v>300</v>
      </c>
      <c r="AH12" s="149">
        <f t="shared" si="5"/>
        <v>0</v>
      </c>
      <c r="AI12" s="149">
        <f t="shared" si="5"/>
        <v>0</v>
      </c>
      <c r="AJ12" s="150">
        <v>3</v>
      </c>
      <c r="AK12" s="150">
        <v>11031</v>
      </c>
      <c r="AL12" s="173">
        <v>3</v>
      </c>
      <c r="AM12" s="173">
        <v>11031</v>
      </c>
      <c r="AN12" s="153">
        <f t="shared" si="6"/>
        <v>0</v>
      </c>
      <c r="AO12" s="153">
        <f t="shared" si="6"/>
        <v>0</v>
      </c>
    </row>
    <row r="13" spans="1:41">
      <c r="A13" s="59">
        <v>7</v>
      </c>
      <c r="B13" s="106" t="s">
        <v>1085</v>
      </c>
      <c r="C13" s="64">
        <f t="shared" ref="C13" si="7">I13+O13</f>
        <v>1</v>
      </c>
      <c r="D13" s="64">
        <f t="shared" ref="D13" si="8">J13+P13</f>
        <v>1009.67</v>
      </c>
      <c r="E13" s="64">
        <f t="shared" ref="E13" si="9">K13+Q13</f>
        <v>1</v>
      </c>
      <c r="F13" s="64">
        <f t="shared" ref="F13" si="10">L13+R13</f>
        <v>0</v>
      </c>
      <c r="G13" s="64">
        <f t="shared" ref="G13" si="11">M13+S13</f>
        <v>500</v>
      </c>
      <c r="H13" s="110">
        <f t="shared" ref="H13:H17" si="12">IF(D13=0,"-",ROUND(G13/D13,3))</f>
        <v>0.495</v>
      </c>
      <c r="I13" s="123">
        <f>鼓楼!I4</f>
        <v>0</v>
      </c>
      <c r="J13" s="123">
        <f>鼓楼!J4</f>
        <v>0</v>
      </c>
      <c r="K13" s="123">
        <f>鼓楼!K4</f>
        <v>0</v>
      </c>
      <c r="L13" s="123">
        <f>鼓楼!L4</f>
        <v>0</v>
      </c>
      <c r="M13" s="123">
        <f>鼓楼!M4</f>
        <v>0</v>
      </c>
      <c r="N13" s="162" t="str">
        <f t="shared" si="2"/>
        <v>-</v>
      </c>
      <c r="O13" s="121">
        <f>鼓楼!P4</f>
        <v>1</v>
      </c>
      <c r="P13" s="121">
        <f>鼓楼!Q4</f>
        <v>1009.67</v>
      </c>
      <c r="Q13" s="121">
        <f>鼓楼!R4</f>
        <v>1</v>
      </c>
      <c r="R13" s="121">
        <f>鼓楼!S4</f>
        <v>0</v>
      </c>
      <c r="S13" s="121">
        <f>鼓楼!T4</f>
        <v>500</v>
      </c>
      <c r="T13" s="166">
        <f t="shared" si="3"/>
        <v>0.495</v>
      </c>
      <c r="U13" s="86"/>
      <c r="W13" s="127"/>
      <c r="X13" s="127"/>
      <c r="Y13" s="127"/>
      <c r="Z13" s="169"/>
      <c r="AA13" s="169"/>
      <c r="AB13" s="141"/>
      <c r="AC13" s="141"/>
      <c r="AD13" s="142"/>
      <c r="AE13" s="142"/>
      <c r="AF13" s="170"/>
      <c r="AG13" s="170"/>
      <c r="AH13" s="149"/>
      <c r="AI13" s="149"/>
      <c r="AJ13" s="150"/>
      <c r="AK13" s="150"/>
      <c r="AL13" s="173"/>
      <c r="AM13" s="173"/>
      <c r="AN13" s="153"/>
      <c r="AO13" s="153"/>
    </row>
    <row r="14" spans="1:41">
      <c r="A14" s="59">
        <v>8</v>
      </c>
      <c r="B14" s="63" t="s">
        <v>51</v>
      </c>
      <c r="C14" s="64">
        <f t="shared" ref="C14:G17" si="13">I14+O14</f>
        <v>4</v>
      </c>
      <c r="D14" s="64" t="e">
        <f t="shared" si="13"/>
        <v>#REF!</v>
      </c>
      <c r="E14" s="64">
        <f t="shared" si="13"/>
        <v>4</v>
      </c>
      <c r="F14" s="64">
        <f t="shared" si="13"/>
        <v>4</v>
      </c>
      <c r="G14" s="64" t="e">
        <f t="shared" si="13"/>
        <v>#REF!</v>
      </c>
      <c r="H14" s="110" t="e">
        <f t="shared" si="12"/>
        <v>#REF!</v>
      </c>
      <c r="I14" s="65">
        <f>龙亭!I4</f>
        <v>3</v>
      </c>
      <c r="J14" s="65">
        <f>龙亭!J4</f>
        <v>916</v>
      </c>
      <c r="K14" s="65">
        <f>龙亭!K4</f>
        <v>3</v>
      </c>
      <c r="L14" s="65">
        <f>龙亭!L4</f>
        <v>3</v>
      </c>
      <c r="M14" s="65">
        <f>龙亭!M4</f>
        <v>916</v>
      </c>
      <c r="N14" s="162">
        <f t="shared" si="2"/>
        <v>1</v>
      </c>
      <c r="O14" s="121">
        <f>龙亭!P4</f>
        <v>1</v>
      </c>
      <c r="P14" s="121" t="e">
        <f>龙亭!Q4</f>
        <v>#REF!</v>
      </c>
      <c r="Q14" s="121">
        <f>龙亭!R4</f>
        <v>1</v>
      </c>
      <c r="R14" s="121">
        <f>龙亭!S4</f>
        <v>1</v>
      </c>
      <c r="S14" s="121" t="e">
        <f>龙亭!T4</f>
        <v>#REF!</v>
      </c>
      <c r="T14" s="166" t="e">
        <f t="shared" si="3"/>
        <v>#REF!</v>
      </c>
      <c r="U14" s="86"/>
      <c r="W14" s="127" t="s">
        <v>51</v>
      </c>
      <c r="X14" s="127">
        <v>5</v>
      </c>
      <c r="Y14" s="127">
        <v>1964</v>
      </c>
      <c r="Z14" s="169">
        <v>5</v>
      </c>
      <c r="AA14" s="169">
        <v>1964</v>
      </c>
      <c r="AB14" s="141">
        <f t="shared" ref="AB14:AC17" si="14">X14-Z14</f>
        <v>0</v>
      </c>
      <c r="AC14" s="141">
        <f t="shared" si="14"/>
        <v>0</v>
      </c>
      <c r="AD14" s="142">
        <v>3</v>
      </c>
      <c r="AE14" s="142">
        <v>916</v>
      </c>
      <c r="AF14" s="170">
        <v>3</v>
      </c>
      <c r="AG14" s="170">
        <v>916</v>
      </c>
      <c r="AH14" s="149">
        <f t="shared" ref="AH14:AI17" si="15">AD14-AF14</f>
        <v>0</v>
      </c>
      <c r="AI14" s="149">
        <f t="shared" si="15"/>
        <v>0</v>
      </c>
      <c r="AJ14" s="150">
        <v>2</v>
      </c>
      <c r="AK14" s="150">
        <v>1048</v>
      </c>
      <c r="AL14" s="173">
        <v>2</v>
      </c>
      <c r="AM14" s="173">
        <v>1048</v>
      </c>
      <c r="AN14" s="153">
        <f t="shared" ref="AN14:AO17" si="16">AJ14-AL14</f>
        <v>0</v>
      </c>
      <c r="AO14" s="153">
        <f t="shared" si="16"/>
        <v>0</v>
      </c>
    </row>
    <row r="15" spans="1:41">
      <c r="A15" s="59">
        <v>9</v>
      </c>
      <c r="B15" s="63" t="s">
        <v>48</v>
      </c>
      <c r="C15" s="64">
        <f t="shared" si="13"/>
        <v>2</v>
      </c>
      <c r="D15" s="64">
        <f t="shared" si="13"/>
        <v>13500</v>
      </c>
      <c r="E15" s="64">
        <f t="shared" si="13"/>
        <v>2</v>
      </c>
      <c r="F15" s="64">
        <f t="shared" si="13"/>
        <v>0</v>
      </c>
      <c r="G15" s="64">
        <f t="shared" si="13"/>
        <v>13155</v>
      </c>
      <c r="H15" s="110">
        <f t="shared" si="12"/>
        <v>0.974</v>
      </c>
      <c r="I15" s="65">
        <f>顺河!I4</f>
        <v>0</v>
      </c>
      <c r="J15" s="65">
        <f>顺河!J4</f>
        <v>0</v>
      </c>
      <c r="K15" s="65">
        <f>顺河!K4</f>
        <v>0</v>
      </c>
      <c r="L15" s="65">
        <f>顺河!L4</f>
        <v>0</v>
      </c>
      <c r="M15" s="65">
        <f>顺河!M4</f>
        <v>0</v>
      </c>
      <c r="N15" s="162" t="str">
        <f t="shared" si="2"/>
        <v>-</v>
      </c>
      <c r="O15" s="121">
        <f>顺河!P4</f>
        <v>2</v>
      </c>
      <c r="P15" s="121">
        <f>顺河!Q4</f>
        <v>13500</v>
      </c>
      <c r="Q15" s="121">
        <f>顺河!R4</f>
        <v>2</v>
      </c>
      <c r="R15" s="121">
        <f>顺河!S4</f>
        <v>0</v>
      </c>
      <c r="S15" s="121">
        <f>顺河!T4</f>
        <v>13155</v>
      </c>
      <c r="T15" s="166">
        <f t="shared" si="3"/>
        <v>0.974</v>
      </c>
      <c r="U15" s="86"/>
      <c r="W15" s="127" t="s">
        <v>48</v>
      </c>
      <c r="X15" s="127">
        <v>2</v>
      </c>
      <c r="Y15" s="127">
        <v>13500</v>
      </c>
      <c r="Z15" s="169">
        <v>2</v>
      </c>
      <c r="AA15" s="169">
        <v>13500</v>
      </c>
      <c r="AB15" s="141">
        <f t="shared" si="14"/>
        <v>0</v>
      </c>
      <c r="AC15" s="141">
        <f t="shared" si="14"/>
        <v>0</v>
      </c>
      <c r="AD15" s="142">
        <v>0</v>
      </c>
      <c r="AE15" s="142">
        <v>0</v>
      </c>
      <c r="AF15" s="170">
        <v>0</v>
      </c>
      <c r="AG15" s="170">
        <v>0</v>
      </c>
      <c r="AH15" s="149">
        <f t="shared" si="15"/>
        <v>0</v>
      </c>
      <c r="AI15" s="149">
        <f t="shared" si="15"/>
        <v>0</v>
      </c>
      <c r="AJ15" s="150">
        <v>2</v>
      </c>
      <c r="AK15" s="150">
        <v>13500</v>
      </c>
      <c r="AL15" s="173">
        <v>2</v>
      </c>
      <c r="AM15" s="173">
        <v>13500</v>
      </c>
      <c r="AN15" s="153">
        <f t="shared" si="16"/>
        <v>0</v>
      </c>
      <c r="AO15" s="153">
        <f t="shared" si="16"/>
        <v>0</v>
      </c>
    </row>
    <row r="16" spans="1:41">
      <c r="A16" s="59">
        <v>10</v>
      </c>
      <c r="B16" s="63" t="s">
        <v>45</v>
      </c>
      <c r="C16" s="64">
        <f t="shared" si="13"/>
        <v>3</v>
      </c>
      <c r="D16" s="64">
        <f t="shared" si="13"/>
        <v>4368</v>
      </c>
      <c r="E16" s="64">
        <f t="shared" si="13"/>
        <v>3</v>
      </c>
      <c r="F16" s="64">
        <f t="shared" si="13"/>
        <v>1</v>
      </c>
      <c r="G16" s="64">
        <f t="shared" si="13"/>
        <v>2152</v>
      </c>
      <c r="H16" s="110">
        <f t="shared" si="12"/>
        <v>0.493</v>
      </c>
      <c r="I16" s="65">
        <f>禹王台!I4</f>
        <v>2</v>
      </c>
      <c r="J16" s="65">
        <f>禹王台!J4</f>
        <v>2368</v>
      </c>
      <c r="K16" s="65">
        <f>禹王台!K4</f>
        <v>2</v>
      </c>
      <c r="L16" s="65">
        <f>禹王台!L4</f>
        <v>1</v>
      </c>
      <c r="M16" s="120">
        <f>禹王台!M4</f>
        <v>2131</v>
      </c>
      <c r="N16" s="162">
        <f t="shared" si="2"/>
        <v>0.9</v>
      </c>
      <c r="O16" s="121">
        <f>禹王台!P4</f>
        <v>1</v>
      </c>
      <c r="P16" s="121">
        <f>禹王台!Q4</f>
        <v>2000</v>
      </c>
      <c r="Q16" s="121">
        <f>禹王台!R4</f>
        <v>1</v>
      </c>
      <c r="R16" s="121">
        <f>禹王台!S4</f>
        <v>0</v>
      </c>
      <c r="S16" s="121">
        <f>禹王台!T4</f>
        <v>21</v>
      </c>
      <c r="T16" s="166">
        <f t="shared" si="3"/>
        <v>0.011</v>
      </c>
      <c r="U16" s="86"/>
      <c r="W16" s="127" t="s">
        <v>45</v>
      </c>
      <c r="X16" s="127">
        <v>2</v>
      </c>
      <c r="Y16" s="127">
        <v>2368</v>
      </c>
      <c r="Z16" s="169">
        <v>2</v>
      </c>
      <c r="AA16" s="169">
        <v>2368</v>
      </c>
      <c r="AB16" s="141">
        <f t="shared" si="14"/>
        <v>0</v>
      </c>
      <c r="AC16" s="141">
        <f t="shared" si="14"/>
        <v>0</v>
      </c>
      <c r="AD16" s="142">
        <v>2</v>
      </c>
      <c r="AE16" s="142">
        <v>2368</v>
      </c>
      <c r="AF16" s="170">
        <v>2</v>
      </c>
      <c r="AG16" s="170">
        <v>2368</v>
      </c>
      <c r="AH16" s="149">
        <f t="shared" si="15"/>
        <v>0</v>
      </c>
      <c r="AI16" s="149">
        <f t="shared" si="15"/>
        <v>0</v>
      </c>
      <c r="AJ16" s="150">
        <v>0</v>
      </c>
      <c r="AK16" s="150">
        <v>0</v>
      </c>
      <c r="AL16" s="173">
        <v>0</v>
      </c>
      <c r="AM16" s="173">
        <v>0</v>
      </c>
      <c r="AN16" s="153">
        <f t="shared" si="16"/>
        <v>0</v>
      </c>
      <c r="AO16" s="153">
        <f t="shared" si="16"/>
        <v>0</v>
      </c>
    </row>
    <row r="17" spans="1:41">
      <c r="A17" s="59">
        <v>11</v>
      </c>
      <c r="B17" s="63" t="s">
        <v>66</v>
      </c>
      <c r="C17" s="64">
        <f t="shared" si="13"/>
        <v>26</v>
      </c>
      <c r="D17" s="64">
        <f t="shared" si="13"/>
        <v>140102.01</v>
      </c>
      <c r="E17" s="64">
        <f t="shared" si="13"/>
        <v>26</v>
      </c>
      <c r="F17" s="64">
        <f t="shared" si="13"/>
        <v>8</v>
      </c>
      <c r="G17" s="64">
        <f t="shared" si="13"/>
        <v>116784.44</v>
      </c>
      <c r="H17" s="110">
        <f t="shared" si="12"/>
        <v>0.834</v>
      </c>
      <c r="I17" s="65">
        <f>市本级!I4</f>
        <v>2</v>
      </c>
      <c r="J17" s="65">
        <f>市本级!J4</f>
        <v>1123</v>
      </c>
      <c r="K17" s="65">
        <f>市本级!K4</f>
        <v>2</v>
      </c>
      <c r="L17" s="65">
        <f>市本级!L4</f>
        <v>2</v>
      </c>
      <c r="M17" s="65">
        <f>市本级!M4</f>
        <v>1123</v>
      </c>
      <c r="N17" s="162">
        <f t="shared" si="2"/>
        <v>1</v>
      </c>
      <c r="O17" s="121">
        <f>市本级!P4</f>
        <v>24</v>
      </c>
      <c r="P17" s="122">
        <f>市本级!Q4</f>
        <v>138979.01</v>
      </c>
      <c r="Q17" s="121">
        <f>市本级!R4</f>
        <v>24</v>
      </c>
      <c r="R17" s="121">
        <f>市本级!S4</f>
        <v>6</v>
      </c>
      <c r="S17" s="122">
        <f>市本级!T4</f>
        <v>115661.44</v>
      </c>
      <c r="T17" s="166">
        <f t="shared" si="3"/>
        <v>0.832</v>
      </c>
      <c r="U17" s="86"/>
      <c r="W17" s="127" t="s">
        <v>66</v>
      </c>
      <c r="X17" s="127">
        <v>22</v>
      </c>
      <c r="Y17" s="127">
        <v>91072.03</v>
      </c>
      <c r="Z17" s="169">
        <v>22</v>
      </c>
      <c r="AA17" s="169">
        <v>92559.01</v>
      </c>
      <c r="AB17" s="141">
        <f t="shared" si="14"/>
        <v>0</v>
      </c>
      <c r="AC17" s="141">
        <f t="shared" si="14"/>
        <v>-1486.98</v>
      </c>
      <c r="AD17" s="142">
        <v>2</v>
      </c>
      <c r="AE17" s="142">
        <v>1123</v>
      </c>
      <c r="AF17" s="170">
        <v>2</v>
      </c>
      <c r="AG17" s="170">
        <v>1123</v>
      </c>
      <c r="AH17" s="149">
        <f t="shared" si="15"/>
        <v>0</v>
      </c>
      <c r="AI17" s="149">
        <f t="shared" si="15"/>
        <v>0</v>
      </c>
      <c r="AJ17" s="150">
        <v>20</v>
      </c>
      <c r="AK17" s="150">
        <v>89949.03</v>
      </c>
      <c r="AL17" s="173">
        <v>20</v>
      </c>
      <c r="AM17" s="173">
        <v>91436.01</v>
      </c>
      <c r="AN17" s="153">
        <f t="shared" si="16"/>
        <v>0</v>
      </c>
      <c r="AO17" s="153">
        <f t="shared" si="16"/>
        <v>-1486.98</v>
      </c>
    </row>
    <row r="18" spans="1:21">
      <c r="A18" s="155"/>
      <c r="B18" s="155"/>
      <c r="C18" s="155"/>
      <c r="D18" s="155"/>
      <c r="E18" s="155"/>
      <c r="F18" s="155"/>
      <c r="G18" s="155"/>
      <c r="H18" s="155"/>
      <c r="I18" s="155"/>
      <c r="J18" s="155"/>
      <c r="K18" s="155"/>
      <c r="L18" s="155"/>
      <c r="M18" s="155"/>
      <c r="N18" s="155"/>
      <c r="O18" s="155"/>
      <c r="P18" s="155"/>
      <c r="Q18" s="155"/>
      <c r="R18" s="155"/>
      <c r="S18" s="155"/>
      <c r="T18" s="155"/>
      <c r="U18" s="167"/>
    </row>
    <row r="19" spans="1:21">
      <c r="A19" s="155"/>
      <c r="B19" s="155"/>
      <c r="C19" s="155"/>
      <c r="D19" s="155"/>
      <c r="E19" s="155"/>
      <c r="F19" s="155"/>
      <c r="G19" s="155"/>
      <c r="H19" s="155"/>
      <c r="I19" s="155"/>
      <c r="J19" s="155"/>
      <c r="K19" s="155"/>
      <c r="L19" s="155"/>
      <c r="M19" s="155"/>
      <c r="N19" s="155"/>
      <c r="O19" s="155"/>
      <c r="P19" s="155"/>
      <c r="Q19" s="155"/>
      <c r="R19" s="155"/>
      <c r="S19" s="155"/>
      <c r="T19" s="155"/>
      <c r="U19" s="167"/>
    </row>
    <row r="20" ht="22.5" spans="1:21">
      <c r="A20" s="47" t="s">
        <v>1122</v>
      </c>
      <c r="B20" s="47"/>
      <c r="C20" s="47"/>
      <c r="D20" s="47"/>
      <c r="E20" s="47"/>
      <c r="F20" s="47"/>
      <c r="G20" s="47"/>
      <c r="H20" s="47"/>
      <c r="I20" s="47"/>
      <c r="J20" s="47"/>
      <c r="K20" s="47"/>
      <c r="L20" s="47"/>
      <c r="M20" s="47"/>
      <c r="N20" s="47"/>
      <c r="O20" s="47"/>
      <c r="P20" s="47"/>
      <c r="Q20" s="47"/>
      <c r="R20" s="47"/>
      <c r="S20" s="47"/>
      <c r="T20" s="47"/>
      <c r="U20" s="47"/>
    </row>
    <row r="21" spans="1:21">
      <c r="A21" s="48" t="s">
        <v>1096</v>
      </c>
      <c r="B21" s="48"/>
      <c r="C21" s="156"/>
      <c r="D21" s="49"/>
      <c r="E21" s="49"/>
      <c r="F21" s="50" t="s">
        <v>1097</v>
      </c>
      <c r="G21" s="50"/>
      <c r="H21" s="50"/>
      <c r="I21" s="50" t="s">
        <v>1098</v>
      </c>
      <c r="J21" s="50"/>
      <c r="K21" s="50"/>
      <c r="L21" s="50" t="s">
        <v>1099</v>
      </c>
      <c r="M21" s="50"/>
      <c r="N21" s="50"/>
      <c r="O21" s="50"/>
      <c r="P21" s="50"/>
      <c r="Q21" s="50"/>
      <c r="R21" s="50"/>
      <c r="S21" s="50"/>
      <c r="T21" s="50"/>
      <c r="U21" s="81"/>
    </row>
    <row r="22" spans="1:41">
      <c r="A22" s="51" t="s">
        <v>0</v>
      </c>
      <c r="B22" s="51" t="s">
        <v>1123</v>
      </c>
      <c r="C22" s="52" t="s">
        <v>1101</v>
      </c>
      <c r="D22" s="53"/>
      <c r="E22" s="53"/>
      <c r="F22" s="53"/>
      <c r="G22" s="53"/>
      <c r="H22" s="154"/>
      <c r="I22" s="111" t="s">
        <v>1102</v>
      </c>
      <c r="J22" s="112"/>
      <c r="K22" s="112"/>
      <c r="L22" s="112"/>
      <c r="M22" s="112"/>
      <c r="N22" s="113"/>
      <c r="O22" s="160" t="s">
        <v>1103</v>
      </c>
      <c r="P22" s="161"/>
      <c r="Q22" s="161"/>
      <c r="R22" s="161"/>
      <c r="S22" s="161"/>
      <c r="T22" s="164"/>
      <c r="U22" s="82" t="s">
        <v>17</v>
      </c>
      <c r="W22" s="127"/>
      <c r="X22" s="132" t="s">
        <v>1101</v>
      </c>
      <c r="Y22" s="133"/>
      <c r="Z22" s="133"/>
      <c r="AA22" s="133"/>
      <c r="AB22" s="133"/>
      <c r="AC22" s="134"/>
      <c r="AD22" s="135" t="s">
        <v>1104</v>
      </c>
      <c r="AE22" s="136"/>
      <c r="AF22" s="136"/>
      <c r="AG22" s="136"/>
      <c r="AH22" s="136"/>
      <c r="AI22" s="143"/>
      <c r="AJ22" s="144" t="s">
        <v>1105</v>
      </c>
      <c r="AK22" s="145"/>
      <c r="AL22" s="145"/>
      <c r="AM22" s="145"/>
      <c r="AN22" s="145"/>
      <c r="AO22" s="145"/>
    </row>
    <row r="23" spans="1:41">
      <c r="A23" s="55"/>
      <c r="B23" s="55"/>
      <c r="C23" s="56" t="s">
        <v>1106</v>
      </c>
      <c r="D23" s="57"/>
      <c r="E23" s="56" t="s">
        <v>1107</v>
      </c>
      <c r="F23" s="56"/>
      <c r="G23" s="56"/>
      <c r="H23" s="56"/>
      <c r="I23" s="71" t="s">
        <v>1106</v>
      </c>
      <c r="J23" s="78"/>
      <c r="K23" s="71" t="s">
        <v>1107</v>
      </c>
      <c r="L23" s="71"/>
      <c r="M23" s="71"/>
      <c r="N23" s="71"/>
      <c r="O23" s="115" t="s">
        <v>1106</v>
      </c>
      <c r="P23" s="116"/>
      <c r="Q23" s="115" t="s">
        <v>1107</v>
      </c>
      <c r="R23" s="115"/>
      <c r="S23" s="115"/>
      <c r="T23" s="115"/>
      <c r="U23" s="83"/>
      <c r="W23" s="127"/>
      <c r="X23" s="137" t="s">
        <v>1108</v>
      </c>
      <c r="Y23" s="137"/>
      <c r="Z23" s="137" t="s">
        <v>1109</v>
      </c>
      <c r="AA23" s="137"/>
      <c r="AB23" s="138" t="s">
        <v>1110</v>
      </c>
      <c r="AC23" s="139"/>
      <c r="AD23" s="140" t="s">
        <v>1108</v>
      </c>
      <c r="AE23" s="140"/>
      <c r="AF23" s="140" t="s">
        <v>1109</v>
      </c>
      <c r="AG23" s="140"/>
      <c r="AH23" s="146" t="s">
        <v>1110</v>
      </c>
      <c r="AI23" s="147"/>
      <c r="AJ23" s="148" t="s">
        <v>1108</v>
      </c>
      <c r="AK23" s="148"/>
      <c r="AL23" s="148" t="s">
        <v>1109</v>
      </c>
      <c r="AM23" s="148"/>
      <c r="AN23" s="151" t="s">
        <v>1110</v>
      </c>
      <c r="AO23" s="152"/>
    </row>
    <row r="24" ht="48" spans="1:41">
      <c r="A24" s="58"/>
      <c r="B24" s="58"/>
      <c r="C24" s="56" t="s">
        <v>1111</v>
      </c>
      <c r="D24" s="56" t="s">
        <v>1112</v>
      </c>
      <c r="E24" s="56" t="s">
        <v>1113</v>
      </c>
      <c r="F24" s="56" t="s">
        <v>1114</v>
      </c>
      <c r="G24" s="56" t="s">
        <v>1115</v>
      </c>
      <c r="H24" s="56" t="s">
        <v>1124</v>
      </c>
      <c r="I24" s="71" t="s">
        <v>1111</v>
      </c>
      <c r="J24" s="71" t="s">
        <v>1112</v>
      </c>
      <c r="K24" s="71" t="s">
        <v>1113</v>
      </c>
      <c r="L24" s="71" t="s">
        <v>1114</v>
      </c>
      <c r="M24" s="71" t="s">
        <v>1115</v>
      </c>
      <c r="N24" s="71" t="s">
        <v>1116</v>
      </c>
      <c r="O24" s="115" t="s">
        <v>1111</v>
      </c>
      <c r="P24" s="115" t="s">
        <v>1112</v>
      </c>
      <c r="Q24" s="115" t="s">
        <v>1113</v>
      </c>
      <c r="R24" s="115" t="s">
        <v>1114</v>
      </c>
      <c r="S24" s="115" t="s">
        <v>1115</v>
      </c>
      <c r="T24" s="165" t="s">
        <v>1116</v>
      </c>
      <c r="U24" s="84"/>
      <c r="W24" s="127"/>
      <c r="X24" s="127" t="s">
        <v>1117</v>
      </c>
      <c r="Y24" s="127" t="s">
        <v>1118</v>
      </c>
      <c r="Z24" s="127" t="s">
        <v>1117</v>
      </c>
      <c r="AA24" s="127" t="s">
        <v>1118</v>
      </c>
      <c r="AB24" s="141" t="s">
        <v>1119</v>
      </c>
      <c r="AC24" s="141" t="s">
        <v>1120</v>
      </c>
      <c r="AD24" s="142" t="s">
        <v>1117</v>
      </c>
      <c r="AE24" s="142" t="s">
        <v>1118</v>
      </c>
      <c r="AF24" s="142" t="s">
        <v>1117</v>
      </c>
      <c r="AG24" s="142" t="s">
        <v>1118</v>
      </c>
      <c r="AH24" s="149" t="s">
        <v>1119</v>
      </c>
      <c r="AI24" s="149" t="s">
        <v>1120</v>
      </c>
      <c r="AJ24" s="150" t="s">
        <v>1117</v>
      </c>
      <c r="AK24" s="150" t="s">
        <v>1118</v>
      </c>
      <c r="AL24" s="150" t="s">
        <v>1117</v>
      </c>
      <c r="AM24" s="150" t="s">
        <v>1118</v>
      </c>
      <c r="AN24" s="153" t="s">
        <v>1119</v>
      </c>
      <c r="AO24" s="153" t="s">
        <v>1120</v>
      </c>
    </row>
    <row r="25" spans="1:41">
      <c r="A25" s="59"/>
      <c r="B25" s="60" t="s">
        <v>1121</v>
      </c>
      <c r="C25" s="59">
        <f t="shared" ref="C25:C43" si="17">I25+O25</f>
        <v>223</v>
      </c>
      <c r="D25" s="59" t="e">
        <f t="shared" ref="D25:D43" si="18">J25+P25</f>
        <v>#REF!</v>
      </c>
      <c r="E25" s="59">
        <f t="shared" ref="E25:E43" si="19">K25+Q25</f>
        <v>223</v>
      </c>
      <c r="F25" s="59">
        <f t="shared" ref="F25:F43" si="20">L25+R25</f>
        <v>127</v>
      </c>
      <c r="G25" s="59" t="e">
        <f t="shared" ref="G25:G43" si="21">M25+S25</f>
        <v>#REF!</v>
      </c>
      <c r="H25" s="110" t="e">
        <f>IF(D25=0,"-",ROUND(G25/D25,3))</f>
        <v>#REF!</v>
      </c>
      <c r="I25" s="117">
        <f>SUM(I26:I43)</f>
        <v>100</v>
      </c>
      <c r="J25" s="117">
        <f>SUM(J26:J43)</f>
        <v>179194.821972</v>
      </c>
      <c r="K25" s="117">
        <f>SUM(K26:K43)</f>
        <v>100</v>
      </c>
      <c r="L25" s="117">
        <f>SUM(L26:L43)</f>
        <v>75</v>
      </c>
      <c r="M25" s="117">
        <f>SUM(M26:M43)</f>
        <v>172942.807872</v>
      </c>
      <c r="N25" s="162">
        <f>IF(J25=0,"-",ROUND(M25/J25,3))</f>
        <v>0.965</v>
      </c>
      <c r="O25" s="119">
        <f>SUM(O26:O43)</f>
        <v>123</v>
      </c>
      <c r="P25" s="119" t="e">
        <f>SUM(P26:P43)</f>
        <v>#REF!</v>
      </c>
      <c r="Q25" s="119">
        <f>SUM(Q26:Q43)</f>
        <v>123</v>
      </c>
      <c r="R25" s="119">
        <f>SUM(R26:R43)</f>
        <v>52</v>
      </c>
      <c r="S25" s="119" t="e">
        <f>SUM(S26:S43)</f>
        <v>#REF!</v>
      </c>
      <c r="T25" s="166" t="e">
        <f>IF(P25=0,"-",ROUND(S25/P25,3))</f>
        <v>#REF!</v>
      </c>
      <c r="U25" s="85"/>
      <c r="W25" s="127" t="s">
        <v>1121</v>
      </c>
      <c r="X25" s="127">
        <v>191</v>
      </c>
      <c r="Y25" s="127">
        <v>687597.364072</v>
      </c>
      <c r="Z25" s="169">
        <v>193</v>
      </c>
      <c r="AA25" s="169">
        <v>695085.244072</v>
      </c>
      <c r="AB25" s="141">
        <f>X25-Z25</f>
        <v>-2</v>
      </c>
      <c r="AC25" s="141">
        <f>Y25-AA25</f>
        <v>-7487.88</v>
      </c>
      <c r="AD25" s="142">
        <v>97</v>
      </c>
      <c r="AE25" s="142">
        <v>171470.921972</v>
      </c>
      <c r="AF25" s="170">
        <v>100</v>
      </c>
      <c r="AG25" s="170">
        <v>179194.821972</v>
      </c>
      <c r="AH25" s="149">
        <f>AD25-AF25</f>
        <v>-3</v>
      </c>
      <c r="AI25" s="149">
        <f>AE25-AG25</f>
        <v>-7723.89999999999</v>
      </c>
      <c r="AJ25" s="150">
        <v>94</v>
      </c>
      <c r="AK25" s="150">
        <v>516126.4421</v>
      </c>
      <c r="AL25" s="173">
        <v>93</v>
      </c>
      <c r="AM25" s="173">
        <v>515890.4221</v>
      </c>
      <c r="AN25" s="153">
        <f>AJ25-AL25</f>
        <v>1</v>
      </c>
      <c r="AO25" s="153">
        <f>AK25-AM25</f>
        <v>236.01999999996</v>
      </c>
    </row>
    <row r="26" spans="1:41">
      <c r="A26" s="59">
        <v>1</v>
      </c>
      <c r="B26" s="63" t="s">
        <v>55</v>
      </c>
      <c r="C26" s="64">
        <f t="shared" si="17"/>
        <v>58</v>
      </c>
      <c r="D26" s="64">
        <f t="shared" si="18"/>
        <v>121804.57</v>
      </c>
      <c r="E26" s="64">
        <f t="shared" si="19"/>
        <v>58</v>
      </c>
      <c r="F26" s="64">
        <f t="shared" si="20"/>
        <v>45</v>
      </c>
      <c r="G26" s="64">
        <f t="shared" si="21"/>
        <v>117339.5</v>
      </c>
      <c r="H26" s="110">
        <f t="shared" ref="H26:H44" si="22">IF(D26=0,"-",ROUND(G26/D26,3))</f>
        <v>0.963</v>
      </c>
      <c r="I26" s="65">
        <f>水利!I4</f>
        <v>30</v>
      </c>
      <c r="J26" s="120">
        <f>水利!J4</f>
        <v>10246.5</v>
      </c>
      <c r="K26" s="65">
        <f>水利!K4</f>
        <v>30</v>
      </c>
      <c r="L26" s="65">
        <f>水利!L4</f>
        <v>29</v>
      </c>
      <c r="M26" s="120">
        <f>水利!M4</f>
        <v>10092.5</v>
      </c>
      <c r="N26" s="162">
        <f>IF(J26=0,"-",ROUND(M26/J26,3))</f>
        <v>0.985</v>
      </c>
      <c r="O26" s="121">
        <f>水利!P4+其他市报!T8</f>
        <v>28</v>
      </c>
      <c r="P26" s="121">
        <f>水利!Q4+其他市报!U8</f>
        <v>111558.07</v>
      </c>
      <c r="Q26" s="121">
        <f>水利!R4+其他市报!V8</f>
        <v>28</v>
      </c>
      <c r="R26" s="121">
        <f>水利!S4+其他市报!W8</f>
        <v>16</v>
      </c>
      <c r="S26" s="121">
        <f>水利!T4+其他市报!X8</f>
        <v>107247</v>
      </c>
      <c r="T26" s="166">
        <f t="shared" ref="T26:T44" si="23">IF(P26=0,"-",ROUND(S26/P26,3))</f>
        <v>0.961</v>
      </c>
      <c r="U26" s="86"/>
      <c r="W26" s="127" t="s">
        <v>55</v>
      </c>
      <c r="X26" s="127">
        <v>38</v>
      </c>
      <c r="Y26" s="127">
        <v>107189.57</v>
      </c>
      <c r="Z26" s="169">
        <v>39</v>
      </c>
      <c r="AA26" s="169">
        <v>107416.57</v>
      </c>
      <c r="AB26" s="141">
        <f t="shared" ref="AB26:AC43" si="24">X26-Z26</f>
        <v>-1</v>
      </c>
      <c r="AC26" s="141">
        <f t="shared" si="24"/>
        <v>-227</v>
      </c>
      <c r="AD26" s="142">
        <v>28</v>
      </c>
      <c r="AE26" s="142">
        <v>7019.5</v>
      </c>
      <c r="AF26" s="170">
        <v>30</v>
      </c>
      <c r="AG26" s="170">
        <v>10246.5</v>
      </c>
      <c r="AH26" s="149">
        <f t="shared" ref="AH26:AI43" si="25">AD26-AF26</f>
        <v>-2</v>
      </c>
      <c r="AI26" s="149">
        <f t="shared" si="25"/>
        <v>-3227</v>
      </c>
      <c r="AJ26" s="150">
        <v>10</v>
      </c>
      <c r="AK26" s="150">
        <v>100170.07</v>
      </c>
      <c r="AL26" s="173">
        <v>9</v>
      </c>
      <c r="AM26" s="173">
        <v>97170.07</v>
      </c>
      <c r="AN26" s="153">
        <f t="shared" ref="AN26:AO43" si="26">AJ26-AL26</f>
        <v>1</v>
      </c>
      <c r="AO26" s="153">
        <f t="shared" si="26"/>
        <v>3000</v>
      </c>
    </row>
    <row r="27" spans="1:41">
      <c r="A27" s="59">
        <v>2</v>
      </c>
      <c r="B27" s="63" t="s">
        <v>510</v>
      </c>
      <c r="C27" s="64">
        <f t="shared" si="17"/>
        <v>8</v>
      </c>
      <c r="D27" s="64">
        <f t="shared" si="18"/>
        <v>97116</v>
      </c>
      <c r="E27" s="64">
        <f t="shared" si="19"/>
        <v>8</v>
      </c>
      <c r="F27" s="64">
        <f t="shared" si="20"/>
        <v>1</v>
      </c>
      <c r="G27" s="64">
        <f t="shared" si="21"/>
        <v>100734.84</v>
      </c>
      <c r="H27" s="110">
        <f t="shared" si="22"/>
        <v>1.037</v>
      </c>
      <c r="I27" s="65">
        <f>农业!I4</f>
        <v>7</v>
      </c>
      <c r="J27" s="65">
        <f>农业!J4</f>
        <v>93616</v>
      </c>
      <c r="K27" s="65">
        <f>农业!K4</f>
        <v>7</v>
      </c>
      <c r="L27" s="65">
        <f>农业!L4</f>
        <v>1</v>
      </c>
      <c r="M27" s="120">
        <f>农业!M4</f>
        <v>94740.84</v>
      </c>
      <c r="N27" s="162">
        <f t="shared" ref="N27:N44" si="27">IF(J27=0,"-",ROUND(M27/J27,3))</f>
        <v>1.012</v>
      </c>
      <c r="O27" s="121">
        <f>农业!P4+其他市报!T66</f>
        <v>1</v>
      </c>
      <c r="P27" s="121">
        <f>农业!Q4+其他市报!U66</f>
        <v>3500</v>
      </c>
      <c r="Q27" s="121">
        <f>农业!R4+其他市报!V66</f>
        <v>1</v>
      </c>
      <c r="R27" s="121">
        <f>农业!S4+其他市报!W66</f>
        <v>0</v>
      </c>
      <c r="S27" s="121">
        <f>农业!T4+其他市报!X66</f>
        <v>5994</v>
      </c>
      <c r="T27" s="166">
        <f t="shared" si="23"/>
        <v>1.713</v>
      </c>
      <c r="U27" s="86"/>
      <c r="W27" s="127" t="s">
        <v>510</v>
      </c>
      <c r="X27" s="127">
        <v>7</v>
      </c>
      <c r="Y27" s="127">
        <v>93616</v>
      </c>
      <c r="Z27" s="169">
        <v>7</v>
      </c>
      <c r="AA27" s="169">
        <v>93616</v>
      </c>
      <c r="AB27" s="141">
        <f t="shared" si="24"/>
        <v>0</v>
      </c>
      <c r="AC27" s="141">
        <f t="shared" si="24"/>
        <v>0</v>
      </c>
      <c r="AD27" s="142">
        <v>7</v>
      </c>
      <c r="AE27" s="142">
        <v>93616</v>
      </c>
      <c r="AF27" s="170">
        <v>7</v>
      </c>
      <c r="AG27" s="170">
        <v>93616</v>
      </c>
      <c r="AH27" s="149">
        <f t="shared" si="25"/>
        <v>0</v>
      </c>
      <c r="AI27" s="149">
        <f t="shared" si="25"/>
        <v>0</v>
      </c>
      <c r="AJ27" s="150">
        <v>0</v>
      </c>
      <c r="AK27" s="150">
        <v>0</v>
      </c>
      <c r="AL27" s="173">
        <v>0</v>
      </c>
      <c r="AM27" s="173">
        <v>0</v>
      </c>
      <c r="AN27" s="153">
        <f t="shared" si="26"/>
        <v>0</v>
      </c>
      <c r="AO27" s="153">
        <f t="shared" si="26"/>
        <v>0</v>
      </c>
    </row>
    <row r="28" spans="1:41">
      <c r="A28" s="59">
        <v>3</v>
      </c>
      <c r="B28" s="63" t="s">
        <v>544</v>
      </c>
      <c r="C28" s="64">
        <f t="shared" si="17"/>
        <v>7</v>
      </c>
      <c r="D28" s="64">
        <f t="shared" si="18"/>
        <v>1493.85</v>
      </c>
      <c r="E28" s="64">
        <f t="shared" si="19"/>
        <v>7</v>
      </c>
      <c r="F28" s="64">
        <f t="shared" si="20"/>
        <v>7</v>
      </c>
      <c r="G28" s="64">
        <f t="shared" si="21"/>
        <v>1493.85</v>
      </c>
      <c r="H28" s="110">
        <f t="shared" si="22"/>
        <v>1</v>
      </c>
      <c r="I28" s="65">
        <f>林业!I4</f>
        <v>2</v>
      </c>
      <c r="J28" s="120">
        <f>林业!J4</f>
        <v>481.65</v>
      </c>
      <c r="K28" s="65">
        <f>林业!K4</f>
        <v>2</v>
      </c>
      <c r="L28" s="65">
        <f>林业!L4</f>
        <v>2</v>
      </c>
      <c r="M28" s="120">
        <f>林业!M4</f>
        <v>481.65</v>
      </c>
      <c r="N28" s="162">
        <f t="shared" si="27"/>
        <v>1</v>
      </c>
      <c r="O28" s="121">
        <f>林业!P4</f>
        <v>5</v>
      </c>
      <c r="P28" s="121">
        <f>林业!Q4</f>
        <v>1012.2</v>
      </c>
      <c r="Q28" s="121">
        <f>林业!R4</f>
        <v>5</v>
      </c>
      <c r="R28" s="121">
        <f>林业!S4</f>
        <v>5</v>
      </c>
      <c r="S28" s="121">
        <f>林业!T4</f>
        <v>1012.2</v>
      </c>
      <c r="T28" s="166">
        <f t="shared" si="23"/>
        <v>1</v>
      </c>
      <c r="U28" s="86"/>
      <c r="W28" s="127" t="s">
        <v>544</v>
      </c>
      <c r="X28" s="127">
        <v>7</v>
      </c>
      <c r="Y28" s="127">
        <v>1664.95</v>
      </c>
      <c r="Z28" s="169">
        <v>7</v>
      </c>
      <c r="AA28" s="169">
        <v>1493.85</v>
      </c>
      <c r="AB28" s="141">
        <f t="shared" si="24"/>
        <v>0</v>
      </c>
      <c r="AC28" s="141">
        <f t="shared" si="24"/>
        <v>171.1</v>
      </c>
      <c r="AD28" s="142">
        <v>2</v>
      </c>
      <c r="AE28" s="142">
        <v>652.75</v>
      </c>
      <c r="AF28" s="170">
        <v>2</v>
      </c>
      <c r="AG28" s="170">
        <v>481.65</v>
      </c>
      <c r="AH28" s="149">
        <f t="shared" si="25"/>
        <v>0</v>
      </c>
      <c r="AI28" s="149">
        <f t="shared" si="25"/>
        <v>171.1</v>
      </c>
      <c r="AJ28" s="150">
        <v>5</v>
      </c>
      <c r="AK28" s="150">
        <v>1012.2</v>
      </c>
      <c r="AL28" s="173">
        <v>5</v>
      </c>
      <c r="AM28" s="173">
        <v>1012.2</v>
      </c>
      <c r="AN28" s="153">
        <f t="shared" si="26"/>
        <v>0</v>
      </c>
      <c r="AO28" s="153">
        <f t="shared" si="26"/>
        <v>0</v>
      </c>
    </row>
    <row r="29" spans="1:41">
      <c r="A29" s="59">
        <v>4</v>
      </c>
      <c r="B29" s="63" t="s">
        <v>129</v>
      </c>
      <c r="C29" s="64">
        <f t="shared" si="17"/>
        <v>52</v>
      </c>
      <c r="D29" s="64" t="e">
        <f t="shared" si="18"/>
        <v>#REF!</v>
      </c>
      <c r="E29" s="64">
        <f t="shared" si="19"/>
        <v>52</v>
      </c>
      <c r="F29" s="64">
        <f t="shared" si="20"/>
        <v>37</v>
      </c>
      <c r="G29" s="64" t="e">
        <f t="shared" si="21"/>
        <v>#REF!</v>
      </c>
      <c r="H29" s="110" t="e">
        <f t="shared" si="22"/>
        <v>#REF!</v>
      </c>
      <c r="I29" s="65">
        <f>交通!I4</f>
        <v>34</v>
      </c>
      <c r="J29" s="120">
        <f>交通!J4</f>
        <v>48280.246</v>
      </c>
      <c r="K29" s="65">
        <f>交通!K4</f>
        <v>34</v>
      </c>
      <c r="L29" s="65">
        <f>交通!L4</f>
        <v>26</v>
      </c>
      <c r="M29" s="120">
        <f>交通!M4</f>
        <v>42225.246</v>
      </c>
      <c r="N29" s="65">
        <f t="shared" si="27"/>
        <v>0.875</v>
      </c>
      <c r="O29" s="121">
        <f>交通!P4+其他市报!T71</f>
        <v>18</v>
      </c>
      <c r="P29" s="121" t="e">
        <f>交通!Q4+其他市报!U71</f>
        <v>#REF!</v>
      </c>
      <c r="Q29" s="121">
        <f>交通!R4+其他市报!V71</f>
        <v>18</v>
      </c>
      <c r="R29" s="121">
        <f>交通!S4+其他市报!W71</f>
        <v>11</v>
      </c>
      <c r="S29" s="121" t="e">
        <f>交通!T4+其他市报!X71</f>
        <v>#REF!</v>
      </c>
      <c r="T29" s="166" t="e">
        <f t="shared" si="23"/>
        <v>#REF!</v>
      </c>
      <c r="U29" s="86"/>
      <c r="W29" s="127" t="s">
        <v>129</v>
      </c>
      <c r="X29" s="127">
        <v>52</v>
      </c>
      <c r="Y29" s="127">
        <v>67273.8101</v>
      </c>
      <c r="Z29" s="169">
        <v>52</v>
      </c>
      <c r="AA29" s="169">
        <v>67273.8101</v>
      </c>
      <c r="AB29" s="141">
        <f t="shared" si="24"/>
        <v>0</v>
      </c>
      <c r="AC29" s="141">
        <f t="shared" si="24"/>
        <v>0</v>
      </c>
      <c r="AD29" s="142">
        <v>34</v>
      </c>
      <c r="AE29" s="142">
        <v>48280.246</v>
      </c>
      <c r="AF29" s="170">
        <v>34</v>
      </c>
      <c r="AG29" s="170">
        <v>48280.246</v>
      </c>
      <c r="AH29" s="149">
        <f t="shared" si="25"/>
        <v>0</v>
      </c>
      <c r="AI29" s="149">
        <f t="shared" si="25"/>
        <v>0</v>
      </c>
      <c r="AJ29" s="150">
        <v>18</v>
      </c>
      <c r="AK29" s="150">
        <v>18993.5641</v>
      </c>
      <c r="AL29" s="173">
        <v>18</v>
      </c>
      <c r="AM29" s="173">
        <v>18993.5641</v>
      </c>
      <c r="AN29" s="153">
        <f t="shared" si="26"/>
        <v>0</v>
      </c>
      <c r="AO29" s="153">
        <f t="shared" si="26"/>
        <v>0</v>
      </c>
    </row>
    <row r="30" spans="1:41">
      <c r="A30" s="59">
        <v>5</v>
      </c>
      <c r="B30" s="63" t="s">
        <v>421</v>
      </c>
      <c r="C30" s="64">
        <f t="shared" si="17"/>
        <v>2</v>
      </c>
      <c r="D30" s="64">
        <f t="shared" si="18"/>
        <v>1000</v>
      </c>
      <c r="E30" s="64">
        <f t="shared" si="19"/>
        <v>2</v>
      </c>
      <c r="F30" s="64">
        <f t="shared" si="20"/>
        <v>0</v>
      </c>
      <c r="G30" s="64">
        <f t="shared" si="21"/>
        <v>730</v>
      </c>
      <c r="H30" s="110">
        <f t="shared" si="22"/>
        <v>0.73</v>
      </c>
      <c r="I30" s="65">
        <f>教育!I4</f>
        <v>0</v>
      </c>
      <c r="J30" s="65">
        <f>教育!J4</f>
        <v>0</v>
      </c>
      <c r="K30" s="65">
        <f>教育!K4</f>
        <v>0</v>
      </c>
      <c r="L30" s="65">
        <f>教育!L4</f>
        <v>0</v>
      </c>
      <c r="M30" s="65">
        <f>教育!M4</f>
        <v>0</v>
      </c>
      <c r="N30" s="162" t="str">
        <f t="shared" si="27"/>
        <v>-</v>
      </c>
      <c r="O30" s="121">
        <f>教育!P4+其他市报!T39</f>
        <v>2</v>
      </c>
      <c r="P30" s="121">
        <f>教育!Q4+其他市报!U39</f>
        <v>1000</v>
      </c>
      <c r="Q30" s="121">
        <f>教育!R4+其他市报!V39</f>
        <v>2</v>
      </c>
      <c r="R30" s="121">
        <f>教育!S4+其他市报!W39</f>
        <v>0</v>
      </c>
      <c r="S30" s="121">
        <f>教育!T4+其他市报!X39</f>
        <v>730</v>
      </c>
      <c r="T30" s="166">
        <f t="shared" si="23"/>
        <v>0.73</v>
      </c>
      <c r="U30" s="86"/>
      <c r="W30" s="127" t="s">
        <v>421</v>
      </c>
      <c r="X30" s="127">
        <v>0</v>
      </c>
      <c r="Y30" s="127">
        <v>0</v>
      </c>
      <c r="Z30" s="169">
        <v>0</v>
      </c>
      <c r="AA30" s="169">
        <v>0</v>
      </c>
      <c r="AB30" s="141">
        <f t="shared" si="24"/>
        <v>0</v>
      </c>
      <c r="AC30" s="141">
        <f t="shared" si="24"/>
        <v>0</v>
      </c>
      <c r="AD30" s="142">
        <v>0</v>
      </c>
      <c r="AE30" s="142">
        <v>0</v>
      </c>
      <c r="AF30" s="170">
        <v>0</v>
      </c>
      <c r="AG30" s="170">
        <v>0</v>
      </c>
      <c r="AH30" s="149">
        <f t="shared" si="25"/>
        <v>0</v>
      </c>
      <c r="AI30" s="149">
        <f t="shared" si="25"/>
        <v>0</v>
      </c>
      <c r="AJ30" s="150">
        <v>0</v>
      </c>
      <c r="AK30" s="150">
        <v>0</v>
      </c>
      <c r="AL30" s="173">
        <v>0</v>
      </c>
      <c r="AM30" s="173">
        <v>0</v>
      </c>
      <c r="AN30" s="153">
        <f t="shared" si="26"/>
        <v>0</v>
      </c>
      <c r="AO30" s="153">
        <f t="shared" si="26"/>
        <v>0</v>
      </c>
    </row>
    <row r="31" spans="1:41">
      <c r="A31" s="59">
        <v>6</v>
      </c>
      <c r="B31" s="63" t="s">
        <v>461</v>
      </c>
      <c r="C31" s="64">
        <f t="shared" si="17"/>
        <v>21</v>
      </c>
      <c r="D31" s="64">
        <f t="shared" si="18"/>
        <v>62981.44</v>
      </c>
      <c r="E31" s="64">
        <f t="shared" si="19"/>
        <v>21</v>
      </c>
      <c r="F31" s="64">
        <f t="shared" si="20"/>
        <v>3</v>
      </c>
      <c r="G31" s="64">
        <f t="shared" si="21"/>
        <v>59013.04</v>
      </c>
      <c r="H31" s="110">
        <f>IF(D31=0,"-",ROUND(G31/(D31-2700),3))</f>
        <v>0.979</v>
      </c>
      <c r="I31" s="65">
        <f>卫生!I4</f>
        <v>8</v>
      </c>
      <c r="J31" s="120">
        <f>卫生!J4</f>
        <v>11135.9</v>
      </c>
      <c r="K31" s="65">
        <f>卫生!K4</f>
        <v>8</v>
      </c>
      <c r="L31" s="65">
        <f>卫生!L4</f>
        <v>0</v>
      </c>
      <c r="M31" s="65">
        <f>卫生!M4</f>
        <v>10106.5</v>
      </c>
      <c r="N31" s="162">
        <f t="shared" si="27"/>
        <v>0.908</v>
      </c>
      <c r="O31" s="121">
        <f>卫生!P4+其他市报!T61</f>
        <v>13</v>
      </c>
      <c r="P31" s="121">
        <f>卫生!Q4+其他市报!U61</f>
        <v>51845.54</v>
      </c>
      <c r="Q31" s="121">
        <f>卫生!R4+其他市报!V61</f>
        <v>13</v>
      </c>
      <c r="R31" s="121">
        <f>卫生!S4+其他市报!W61</f>
        <v>3</v>
      </c>
      <c r="S31" s="121">
        <f>卫生!T4+其他市报!X61</f>
        <v>48906.54</v>
      </c>
      <c r="T31" s="166">
        <f t="shared" si="23"/>
        <v>0.943</v>
      </c>
      <c r="U31" s="86"/>
      <c r="W31" s="127" t="s">
        <v>461</v>
      </c>
      <c r="X31" s="127">
        <v>20</v>
      </c>
      <c r="Y31" s="127">
        <v>59979.06</v>
      </c>
      <c r="Z31" s="169">
        <v>20</v>
      </c>
      <c r="AA31" s="169">
        <v>62741.44</v>
      </c>
      <c r="AB31" s="141">
        <f t="shared" si="24"/>
        <v>0</v>
      </c>
      <c r="AC31" s="141">
        <f t="shared" si="24"/>
        <v>-2762.38</v>
      </c>
      <c r="AD31" s="142">
        <v>8</v>
      </c>
      <c r="AE31" s="142">
        <v>11135.9</v>
      </c>
      <c r="AF31" s="170">
        <v>8</v>
      </c>
      <c r="AG31" s="170">
        <v>11135.9</v>
      </c>
      <c r="AH31" s="149">
        <f t="shared" si="25"/>
        <v>0</v>
      </c>
      <c r="AI31" s="149">
        <f t="shared" si="25"/>
        <v>0</v>
      </c>
      <c r="AJ31" s="150">
        <v>12</v>
      </c>
      <c r="AK31" s="150">
        <v>48843.16</v>
      </c>
      <c r="AL31" s="173">
        <v>12</v>
      </c>
      <c r="AM31" s="173">
        <v>51605.54</v>
      </c>
      <c r="AN31" s="153">
        <f t="shared" si="26"/>
        <v>0</v>
      </c>
      <c r="AO31" s="153">
        <f t="shared" si="26"/>
        <v>-2762.38</v>
      </c>
    </row>
    <row r="32" spans="1:41">
      <c r="A32" s="59">
        <v>7</v>
      </c>
      <c r="B32" s="63" t="s">
        <v>1125</v>
      </c>
      <c r="C32" s="64">
        <f t="shared" si="17"/>
        <v>4</v>
      </c>
      <c r="D32" s="64" t="e">
        <f t="shared" si="18"/>
        <v>#REF!</v>
      </c>
      <c r="E32" s="64">
        <f t="shared" si="19"/>
        <v>4</v>
      </c>
      <c r="F32" s="64">
        <f t="shared" si="20"/>
        <v>1</v>
      </c>
      <c r="G32" s="64" t="e">
        <f t="shared" si="21"/>
        <v>#REF!</v>
      </c>
      <c r="H32" s="110" t="e">
        <f t="shared" si="22"/>
        <v>#REF!</v>
      </c>
      <c r="I32" s="65">
        <f>住房!I4</f>
        <v>1</v>
      </c>
      <c r="J32" s="65">
        <f>住房!J4</f>
        <v>743</v>
      </c>
      <c r="K32" s="65">
        <f>住房!K4</f>
        <v>1</v>
      </c>
      <c r="L32" s="65">
        <f>住房!L4</f>
        <v>1</v>
      </c>
      <c r="M32" s="65">
        <f>住房!M4</f>
        <v>743</v>
      </c>
      <c r="N32" s="162">
        <f t="shared" si="27"/>
        <v>1</v>
      </c>
      <c r="O32" s="121">
        <f>住房!P4+其他市报!T31</f>
        <v>3</v>
      </c>
      <c r="P32" s="121" t="e">
        <f>住房!Q4+其他市报!U31</f>
        <v>#REF!</v>
      </c>
      <c r="Q32" s="121">
        <f>住房!R4+其他市报!V31</f>
        <v>3</v>
      </c>
      <c r="R32" s="121">
        <f>住房!S4+其他市报!W31</f>
        <v>0</v>
      </c>
      <c r="S32" s="121" t="e">
        <f>住房!T4+其他市报!X31</f>
        <v>#REF!</v>
      </c>
      <c r="T32" s="166" t="e">
        <f t="shared" si="23"/>
        <v>#REF!</v>
      </c>
      <c r="U32" s="85"/>
      <c r="W32" s="127" t="s">
        <v>1125</v>
      </c>
      <c r="X32" s="127">
        <v>1</v>
      </c>
      <c r="Y32" s="127">
        <v>743</v>
      </c>
      <c r="Z32" s="169">
        <v>1</v>
      </c>
      <c r="AA32" s="169">
        <v>743</v>
      </c>
      <c r="AB32" s="141">
        <f t="shared" si="24"/>
        <v>0</v>
      </c>
      <c r="AC32" s="141">
        <f t="shared" si="24"/>
        <v>0</v>
      </c>
      <c r="AD32" s="142">
        <v>1</v>
      </c>
      <c r="AE32" s="142">
        <v>743</v>
      </c>
      <c r="AF32" s="170">
        <v>1</v>
      </c>
      <c r="AG32" s="170">
        <v>743</v>
      </c>
      <c r="AH32" s="149">
        <f t="shared" si="25"/>
        <v>0</v>
      </c>
      <c r="AI32" s="149">
        <f t="shared" si="25"/>
        <v>0</v>
      </c>
      <c r="AJ32" s="150">
        <v>0</v>
      </c>
      <c r="AK32" s="150">
        <v>0</v>
      </c>
      <c r="AL32" s="173">
        <v>0</v>
      </c>
      <c r="AM32" s="173">
        <v>0</v>
      </c>
      <c r="AN32" s="153">
        <f t="shared" si="26"/>
        <v>0</v>
      </c>
      <c r="AO32" s="153">
        <f t="shared" si="26"/>
        <v>0</v>
      </c>
    </row>
    <row r="33" spans="1:41">
      <c r="A33" s="59">
        <v>8</v>
      </c>
      <c r="B33" s="63" t="s">
        <v>558</v>
      </c>
      <c r="C33" s="64">
        <f t="shared" si="17"/>
        <v>37</v>
      </c>
      <c r="D33" s="64">
        <f t="shared" si="18"/>
        <v>299017.188</v>
      </c>
      <c r="E33" s="64">
        <f t="shared" si="19"/>
        <v>37</v>
      </c>
      <c r="F33" s="64">
        <f t="shared" si="20"/>
        <v>12</v>
      </c>
      <c r="G33" s="64">
        <f t="shared" si="21"/>
        <v>302274.388</v>
      </c>
      <c r="H33" s="110">
        <f t="shared" si="22"/>
        <v>1.011</v>
      </c>
      <c r="I33" s="65">
        <f>市政!I4</f>
        <v>1</v>
      </c>
      <c r="J33" s="65">
        <f>市政!J4</f>
        <v>4668</v>
      </c>
      <c r="K33" s="65">
        <f>市政!K4</f>
        <v>1</v>
      </c>
      <c r="L33" s="65">
        <f>市政!L4</f>
        <v>1</v>
      </c>
      <c r="M33" s="65">
        <f>市政!M4</f>
        <v>4668</v>
      </c>
      <c r="N33" s="162">
        <f t="shared" si="27"/>
        <v>1</v>
      </c>
      <c r="O33" s="122">
        <f>市政!P4+其他市报!T45</f>
        <v>36</v>
      </c>
      <c r="P33" s="122">
        <f>市政!Q4+其他市报!U45</f>
        <v>294349.188</v>
      </c>
      <c r="Q33" s="122">
        <f>市政!R4+其他市报!V45</f>
        <v>36</v>
      </c>
      <c r="R33" s="122">
        <f>市政!S4+其他市报!W45</f>
        <v>11</v>
      </c>
      <c r="S33" s="122">
        <f>市政!T4+其他市报!X45</f>
        <v>297606.388</v>
      </c>
      <c r="T33" s="166">
        <f t="shared" si="23"/>
        <v>1.011</v>
      </c>
      <c r="U33" s="86"/>
      <c r="W33" s="127" t="s">
        <v>558</v>
      </c>
      <c r="X33" s="127">
        <v>35</v>
      </c>
      <c r="Y33" s="127">
        <v>292349.188</v>
      </c>
      <c r="Z33" s="169">
        <v>36</v>
      </c>
      <c r="AA33" s="169">
        <v>297017.188</v>
      </c>
      <c r="AB33" s="141">
        <f t="shared" si="24"/>
        <v>-1</v>
      </c>
      <c r="AC33" s="141">
        <f t="shared" si="24"/>
        <v>-4668</v>
      </c>
      <c r="AD33" s="142">
        <v>0</v>
      </c>
      <c r="AE33" s="142">
        <v>0</v>
      </c>
      <c r="AF33" s="170">
        <v>1</v>
      </c>
      <c r="AG33" s="170">
        <v>4668</v>
      </c>
      <c r="AH33" s="149">
        <f t="shared" si="25"/>
        <v>-1</v>
      </c>
      <c r="AI33" s="149">
        <f t="shared" si="25"/>
        <v>-4668</v>
      </c>
      <c r="AJ33" s="150">
        <v>35</v>
      </c>
      <c r="AK33" s="150">
        <v>292349.188</v>
      </c>
      <c r="AL33" s="173">
        <v>35</v>
      </c>
      <c r="AM33" s="173">
        <v>292349.188</v>
      </c>
      <c r="AN33" s="153">
        <f t="shared" si="26"/>
        <v>0</v>
      </c>
      <c r="AO33" s="153">
        <f t="shared" si="26"/>
        <v>0</v>
      </c>
    </row>
    <row r="34" spans="1:41">
      <c r="A34" s="59">
        <v>9</v>
      </c>
      <c r="B34" s="63" t="s">
        <v>488</v>
      </c>
      <c r="C34" s="64">
        <f t="shared" si="17"/>
        <v>9</v>
      </c>
      <c r="D34" s="64">
        <f t="shared" si="18"/>
        <v>41614.647</v>
      </c>
      <c r="E34" s="64">
        <f t="shared" si="19"/>
        <v>9</v>
      </c>
      <c r="F34" s="64">
        <f t="shared" si="20"/>
        <v>6</v>
      </c>
      <c r="G34" s="64">
        <f t="shared" si="21"/>
        <v>36178.6229</v>
      </c>
      <c r="H34" s="110">
        <f t="shared" si="22"/>
        <v>0.869</v>
      </c>
      <c r="I34" s="65">
        <f>文化!I4</f>
        <v>6</v>
      </c>
      <c r="J34" s="120">
        <f>文化!J4</f>
        <v>307.647</v>
      </c>
      <c r="K34" s="65">
        <f>文化!K4</f>
        <v>6</v>
      </c>
      <c r="L34" s="65">
        <f>文化!L4</f>
        <v>5</v>
      </c>
      <c r="M34" s="120">
        <f>文化!M4</f>
        <v>301.3229</v>
      </c>
      <c r="N34" s="162">
        <f t="shared" si="27"/>
        <v>0.979</v>
      </c>
      <c r="O34" s="121">
        <f>文化!P4+其他市报!T55</f>
        <v>3</v>
      </c>
      <c r="P34" s="121">
        <f>文化!Q4+其他市报!U55</f>
        <v>41307</v>
      </c>
      <c r="Q34" s="121">
        <f>文化!R4+其他市报!V55</f>
        <v>3</v>
      </c>
      <c r="R34" s="121">
        <f>文化!S4+其他市报!W55</f>
        <v>1</v>
      </c>
      <c r="S34" s="121">
        <f>文化!T4+其他市报!X55</f>
        <v>35877.3</v>
      </c>
      <c r="T34" s="166">
        <f t="shared" si="23"/>
        <v>0.869</v>
      </c>
      <c r="U34" s="86"/>
      <c r="W34" s="127" t="s">
        <v>488</v>
      </c>
      <c r="X34" s="127">
        <v>7</v>
      </c>
      <c r="Y34" s="127">
        <v>630.647</v>
      </c>
      <c r="Z34" s="169">
        <v>7</v>
      </c>
      <c r="AA34" s="169">
        <v>630.647</v>
      </c>
      <c r="AB34" s="141">
        <f t="shared" si="24"/>
        <v>0</v>
      </c>
      <c r="AC34" s="141">
        <f t="shared" si="24"/>
        <v>0</v>
      </c>
      <c r="AD34" s="142">
        <v>6</v>
      </c>
      <c r="AE34" s="142">
        <v>307.647</v>
      </c>
      <c r="AF34" s="170">
        <v>6</v>
      </c>
      <c r="AG34" s="170">
        <v>307.647</v>
      </c>
      <c r="AH34" s="149">
        <f t="shared" si="25"/>
        <v>0</v>
      </c>
      <c r="AI34" s="149">
        <f t="shared" si="25"/>
        <v>0</v>
      </c>
      <c r="AJ34" s="150">
        <v>1</v>
      </c>
      <c r="AK34" s="150">
        <v>323</v>
      </c>
      <c r="AL34" s="173">
        <v>1</v>
      </c>
      <c r="AM34" s="173">
        <v>323</v>
      </c>
      <c r="AN34" s="153">
        <f t="shared" si="26"/>
        <v>0</v>
      </c>
      <c r="AO34" s="153">
        <f t="shared" si="26"/>
        <v>0</v>
      </c>
    </row>
    <row r="35" spans="1:41">
      <c r="A35" s="59">
        <v>10</v>
      </c>
      <c r="B35" s="63" t="s">
        <v>851</v>
      </c>
      <c r="C35" s="64">
        <f t="shared" si="17"/>
        <v>1</v>
      </c>
      <c r="D35" s="64">
        <f t="shared" si="18"/>
        <v>300</v>
      </c>
      <c r="E35" s="64">
        <f t="shared" si="19"/>
        <v>1</v>
      </c>
      <c r="F35" s="64">
        <f t="shared" si="20"/>
        <v>0</v>
      </c>
      <c r="G35" s="64">
        <f t="shared" si="21"/>
        <v>423</v>
      </c>
      <c r="H35" s="110">
        <f t="shared" si="22"/>
        <v>1.41</v>
      </c>
      <c r="I35" s="65">
        <f>文物!I4</f>
        <v>0</v>
      </c>
      <c r="J35" s="65">
        <f>文物!J4</f>
        <v>0</v>
      </c>
      <c r="K35" s="65">
        <f>文物!K4</f>
        <v>0</v>
      </c>
      <c r="L35" s="65">
        <f>文物!L4</f>
        <v>0</v>
      </c>
      <c r="M35" s="65">
        <f>文物!M4</f>
        <v>0</v>
      </c>
      <c r="N35" s="162" t="str">
        <f t="shared" si="27"/>
        <v>-</v>
      </c>
      <c r="O35" s="121">
        <f>文物!P4</f>
        <v>1</v>
      </c>
      <c r="P35" s="121">
        <f>文物!Q4</f>
        <v>300</v>
      </c>
      <c r="Q35" s="121">
        <f>文物!R4</f>
        <v>1</v>
      </c>
      <c r="R35" s="121">
        <f>文物!S4</f>
        <v>0</v>
      </c>
      <c r="S35" s="121">
        <f>文物!T4</f>
        <v>423</v>
      </c>
      <c r="T35" s="166">
        <f t="shared" si="23"/>
        <v>1.41</v>
      </c>
      <c r="U35" s="86"/>
      <c r="W35" s="127" t="s">
        <v>851</v>
      </c>
      <c r="X35" s="127">
        <v>1</v>
      </c>
      <c r="Y35" s="127">
        <v>300</v>
      </c>
      <c r="Z35" s="169">
        <v>1</v>
      </c>
      <c r="AA35" s="169">
        <v>300</v>
      </c>
      <c r="AB35" s="141">
        <f t="shared" si="24"/>
        <v>0</v>
      </c>
      <c r="AC35" s="141">
        <f t="shared" si="24"/>
        <v>0</v>
      </c>
      <c r="AD35" s="142">
        <v>0</v>
      </c>
      <c r="AE35" s="142">
        <v>0</v>
      </c>
      <c r="AF35" s="170">
        <v>0</v>
      </c>
      <c r="AG35" s="170">
        <v>0</v>
      </c>
      <c r="AH35" s="149">
        <f t="shared" si="25"/>
        <v>0</v>
      </c>
      <c r="AI35" s="149">
        <f t="shared" si="25"/>
        <v>0</v>
      </c>
      <c r="AJ35" s="150">
        <v>1</v>
      </c>
      <c r="AK35" s="150">
        <v>300</v>
      </c>
      <c r="AL35" s="173">
        <v>1</v>
      </c>
      <c r="AM35" s="173">
        <v>300</v>
      </c>
      <c r="AN35" s="153">
        <f t="shared" si="26"/>
        <v>0</v>
      </c>
      <c r="AO35" s="153">
        <f t="shared" si="26"/>
        <v>0</v>
      </c>
    </row>
    <row r="36" spans="1:41">
      <c r="A36" s="59">
        <v>11</v>
      </c>
      <c r="B36" s="63" t="s">
        <v>1126</v>
      </c>
      <c r="C36" s="64">
        <f t="shared" si="17"/>
        <v>2</v>
      </c>
      <c r="D36" s="64">
        <f t="shared" si="18"/>
        <v>8183.31</v>
      </c>
      <c r="E36" s="64">
        <f t="shared" si="19"/>
        <v>2</v>
      </c>
      <c r="F36" s="64">
        <f t="shared" si="20"/>
        <v>2</v>
      </c>
      <c r="G36" s="64">
        <f t="shared" si="21"/>
        <v>8183.31</v>
      </c>
      <c r="H36" s="110">
        <f t="shared" si="22"/>
        <v>1</v>
      </c>
      <c r="I36" s="65">
        <f>应急!I4</f>
        <v>2</v>
      </c>
      <c r="J36" s="120">
        <f>应急!J4</f>
        <v>8183.31</v>
      </c>
      <c r="K36" s="65">
        <f>应急!K4</f>
        <v>2</v>
      </c>
      <c r="L36" s="65">
        <f>应急!L4</f>
        <v>2</v>
      </c>
      <c r="M36" s="65">
        <f>应急!M4</f>
        <v>8183.31</v>
      </c>
      <c r="N36" s="162">
        <f t="shared" si="27"/>
        <v>1</v>
      </c>
      <c r="O36" s="121">
        <f>应急!P4</f>
        <v>0</v>
      </c>
      <c r="P36" s="121">
        <f>应急!Q4</f>
        <v>0</v>
      </c>
      <c r="Q36" s="121">
        <f>应急!R4</f>
        <v>0</v>
      </c>
      <c r="R36" s="121">
        <f>应急!S4</f>
        <v>0</v>
      </c>
      <c r="S36" s="121">
        <f>应急!T4</f>
        <v>0</v>
      </c>
      <c r="T36" s="166" t="str">
        <f t="shared" si="23"/>
        <v>-</v>
      </c>
      <c r="U36" s="86"/>
      <c r="W36" s="127" t="s">
        <v>1126</v>
      </c>
      <c r="X36" s="127">
        <v>2</v>
      </c>
      <c r="Y36" s="127">
        <v>8183.31</v>
      </c>
      <c r="Z36" s="169">
        <v>2</v>
      </c>
      <c r="AA36" s="169">
        <v>8183.31</v>
      </c>
      <c r="AB36" s="141">
        <f t="shared" si="24"/>
        <v>0</v>
      </c>
      <c r="AC36" s="141">
        <f t="shared" si="24"/>
        <v>0</v>
      </c>
      <c r="AD36" s="142">
        <v>2</v>
      </c>
      <c r="AE36" s="142">
        <v>8183.31</v>
      </c>
      <c r="AF36" s="170">
        <v>2</v>
      </c>
      <c r="AG36" s="170">
        <v>8183.31</v>
      </c>
      <c r="AH36" s="149">
        <f t="shared" si="25"/>
        <v>0</v>
      </c>
      <c r="AI36" s="149">
        <f t="shared" si="25"/>
        <v>0</v>
      </c>
      <c r="AJ36" s="150">
        <v>0</v>
      </c>
      <c r="AK36" s="150">
        <v>0</v>
      </c>
      <c r="AL36" s="173">
        <v>0</v>
      </c>
      <c r="AM36" s="173">
        <v>0</v>
      </c>
      <c r="AN36" s="153">
        <f t="shared" si="26"/>
        <v>0</v>
      </c>
      <c r="AO36" s="153">
        <f t="shared" si="26"/>
        <v>0</v>
      </c>
    </row>
    <row r="37" spans="1:41">
      <c r="A37" s="59">
        <v>12</v>
      </c>
      <c r="B37" s="63" t="s">
        <v>223</v>
      </c>
      <c r="C37" s="64">
        <f t="shared" si="17"/>
        <v>6</v>
      </c>
      <c r="D37" s="64">
        <f t="shared" si="18"/>
        <v>1132.568972</v>
      </c>
      <c r="E37" s="64">
        <f t="shared" si="19"/>
        <v>6</v>
      </c>
      <c r="F37" s="64">
        <f t="shared" si="20"/>
        <v>6</v>
      </c>
      <c r="G37" s="64">
        <f t="shared" si="21"/>
        <v>1132.568972</v>
      </c>
      <c r="H37" s="110">
        <f t="shared" si="22"/>
        <v>1</v>
      </c>
      <c r="I37" s="65">
        <f>乡村振兴!I4</f>
        <v>6</v>
      </c>
      <c r="J37" s="65">
        <f>乡村振兴!J4</f>
        <v>1132.568972</v>
      </c>
      <c r="K37" s="65">
        <f>乡村振兴!K4</f>
        <v>6</v>
      </c>
      <c r="L37" s="65">
        <f>乡村振兴!L4</f>
        <v>6</v>
      </c>
      <c r="M37" s="65">
        <f>乡村振兴!M4</f>
        <v>1132.568972</v>
      </c>
      <c r="N37" s="162">
        <f t="shared" si="27"/>
        <v>1</v>
      </c>
      <c r="O37" s="121">
        <f>乡村振兴!P4</f>
        <v>0</v>
      </c>
      <c r="P37" s="121">
        <f>乡村振兴!Q4</f>
        <v>0</v>
      </c>
      <c r="Q37" s="121">
        <f>乡村振兴!R4</f>
        <v>0</v>
      </c>
      <c r="R37" s="121">
        <f>乡村振兴!S4</f>
        <v>0</v>
      </c>
      <c r="S37" s="121">
        <f>乡村振兴!T4</f>
        <v>0</v>
      </c>
      <c r="T37" s="166" t="str">
        <f t="shared" si="23"/>
        <v>-</v>
      </c>
      <c r="U37" s="67"/>
      <c r="W37" s="127" t="s">
        <v>223</v>
      </c>
      <c r="X37" s="127">
        <v>6</v>
      </c>
      <c r="Y37" s="127">
        <v>1132.568972</v>
      </c>
      <c r="Z37" s="169">
        <v>6</v>
      </c>
      <c r="AA37" s="169">
        <v>1132.568972</v>
      </c>
      <c r="AB37" s="141">
        <f t="shared" si="24"/>
        <v>0</v>
      </c>
      <c r="AC37" s="141">
        <f t="shared" si="24"/>
        <v>0</v>
      </c>
      <c r="AD37" s="142">
        <v>6</v>
      </c>
      <c r="AE37" s="142">
        <v>1132.568972</v>
      </c>
      <c r="AF37" s="170">
        <v>6</v>
      </c>
      <c r="AG37" s="170">
        <v>1132.568972</v>
      </c>
      <c r="AH37" s="149">
        <f t="shared" si="25"/>
        <v>0</v>
      </c>
      <c r="AI37" s="149">
        <f t="shared" si="25"/>
        <v>0</v>
      </c>
      <c r="AJ37" s="150">
        <v>0</v>
      </c>
      <c r="AK37" s="150">
        <v>0</v>
      </c>
      <c r="AL37" s="173">
        <v>0</v>
      </c>
      <c r="AM37" s="173">
        <v>0</v>
      </c>
      <c r="AN37" s="153">
        <f t="shared" si="26"/>
        <v>0</v>
      </c>
      <c r="AO37" s="153">
        <f t="shared" si="26"/>
        <v>0</v>
      </c>
    </row>
    <row r="38" spans="1:41">
      <c r="A38" s="59">
        <v>13</v>
      </c>
      <c r="B38" s="63" t="s">
        <v>413</v>
      </c>
      <c r="C38" s="64">
        <f t="shared" si="17"/>
        <v>13</v>
      </c>
      <c r="D38" s="64">
        <f t="shared" si="18"/>
        <v>51856.86</v>
      </c>
      <c r="E38" s="64">
        <f t="shared" si="19"/>
        <v>13</v>
      </c>
      <c r="F38" s="64">
        <f t="shared" si="20"/>
        <v>5</v>
      </c>
      <c r="G38" s="64">
        <f t="shared" si="21"/>
        <v>49164.73</v>
      </c>
      <c r="H38" s="110">
        <f t="shared" si="22"/>
        <v>0.948</v>
      </c>
      <c r="I38" s="65">
        <f>民政!I4</f>
        <v>2</v>
      </c>
      <c r="J38" s="65">
        <f>民政!J4</f>
        <v>390</v>
      </c>
      <c r="K38" s="65">
        <f>民政!K4</f>
        <v>2</v>
      </c>
      <c r="L38" s="65">
        <f>民政!L4</f>
        <v>1</v>
      </c>
      <c r="M38" s="120">
        <f>民政!M4</f>
        <v>257.87</v>
      </c>
      <c r="N38" s="162">
        <f t="shared" si="27"/>
        <v>0.661</v>
      </c>
      <c r="O38" s="121">
        <f>民政!P4+其他市报!T50</f>
        <v>11</v>
      </c>
      <c r="P38" s="121">
        <f>民政!Q4+其他市报!U50</f>
        <v>51466.86</v>
      </c>
      <c r="Q38" s="121">
        <f>民政!R4+其他市报!V50</f>
        <v>11</v>
      </c>
      <c r="R38" s="121">
        <f>民政!S4+其他市报!W50</f>
        <v>4</v>
      </c>
      <c r="S38" s="121">
        <f>民政!T4+其他市报!X50</f>
        <v>48906.86</v>
      </c>
      <c r="T38" s="166">
        <f t="shared" si="23"/>
        <v>0.95</v>
      </c>
      <c r="U38" s="86"/>
      <c r="W38" s="127" t="s">
        <v>413</v>
      </c>
      <c r="X38" s="127">
        <v>12</v>
      </c>
      <c r="Y38" s="127">
        <v>48355.26</v>
      </c>
      <c r="Z38" s="169">
        <v>12</v>
      </c>
      <c r="AA38" s="169">
        <v>48356.86</v>
      </c>
      <c r="AB38" s="141">
        <f t="shared" si="24"/>
        <v>0</v>
      </c>
      <c r="AC38" s="141">
        <f t="shared" si="24"/>
        <v>-1.59999999999854</v>
      </c>
      <c r="AD38" s="142">
        <v>2</v>
      </c>
      <c r="AE38" s="142">
        <v>390</v>
      </c>
      <c r="AF38" s="170">
        <v>2</v>
      </c>
      <c r="AG38" s="170">
        <v>390</v>
      </c>
      <c r="AH38" s="149">
        <f t="shared" si="25"/>
        <v>0</v>
      </c>
      <c r="AI38" s="149">
        <f t="shared" si="25"/>
        <v>0</v>
      </c>
      <c r="AJ38" s="150">
        <v>10</v>
      </c>
      <c r="AK38" s="150">
        <v>47965.26</v>
      </c>
      <c r="AL38" s="173">
        <v>10</v>
      </c>
      <c r="AM38" s="173">
        <v>47966.86</v>
      </c>
      <c r="AN38" s="153">
        <f t="shared" si="26"/>
        <v>0</v>
      </c>
      <c r="AO38" s="153">
        <f t="shared" si="26"/>
        <v>-1.59999999999854</v>
      </c>
    </row>
    <row r="39" spans="1:41">
      <c r="A39" s="59">
        <v>14</v>
      </c>
      <c r="B39" s="63" t="s">
        <v>215</v>
      </c>
      <c r="C39" s="64">
        <f t="shared" si="17"/>
        <v>1</v>
      </c>
      <c r="D39" s="64">
        <f t="shared" si="18"/>
        <v>10</v>
      </c>
      <c r="E39" s="64">
        <f t="shared" si="19"/>
        <v>1</v>
      </c>
      <c r="F39" s="64">
        <f t="shared" si="20"/>
        <v>1</v>
      </c>
      <c r="G39" s="64">
        <f t="shared" si="21"/>
        <v>10</v>
      </c>
      <c r="H39" s="110">
        <f t="shared" si="22"/>
        <v>1</v>
      </c>
      <c r="I39" s="65">
        <f>能源!I4</f>
        <v>1</v>
      </c>
      <c r="J39" s="65">
        <f>能源!J4</f>
        <v>10</v>
      </c>
      <c r="K39" s="65">
        <f>能源!K4</f>
        <v>1</v>
      </c>
      <c r="L39" s="65">
        <f>能源!L4</f>
        <v>1</v>
      </c>
      <c r="M39" s="65">
        <f>能源!M4</f>
        <v>10</v>
      </c>
      <c r="N39" s="162">
        <f t="shared" si="27"/>
        <v>1</v>
      </c>
      <c r="O39" s="121">
        <f>能源!P4</f>
        <v>0</v>
      </c>
      <c r="P39" s="121">
        <f>能源!Q4</f>
        <v>0</v>
      </c>
      <c r="Q39" s="121">
        <f>能源!R4</f>
        <v>0</v>
      </c>
      <c r="R39" s="121">
        <f>能源!S4</f>
        <v>0</v>
      </c>
      <c r="S39" s="121">
        <f>能源!T4</f>
        <v>0</v>
      </c>
      <c r="T39" s="166" t="str">
        <f t="shared" si="23"/>
        <v>-</v>
      </c>
      <c r="U39" s="86"/>
      <c r="W39" s="127" t="s">
        <v>215</v>
      </c>
      <c r="X39" s="127">
        <v>1</v>
      </c>
      <c r="Y39" s="127">
        <v>10</v>
      </c>
      <c r="Z39" s="169">
        <v>1</v>
      </c>
      <c r="AA39" s="169">
        <v>10</v>
      </c>
      <c r="AB39" s="141">
        <f t="shared" si="24"/>
        <v>0</v>
      </c>
      <c r="AC39" s="141">
        <f t="shared" si="24"/>
        <v>0</v>
      </c>
      <c r="AD39" s="142">
        <v>1</v>
      </c>
      <c r="AE39" s="142">
        <v>10</v>
      </c>
      <c r="AF39" s="170">
        <v>1</v>
      </c>
      <c r="AG39" s="170">
        <v>10</v>
      </c>
      <c r="AH39" s="149">
        <f t="shared" si="25"/>
        <v>0</v>
      </c>
      <c r="AI39" s="149">
        <f t="shared" si="25"/>
        <v>0</v>
      </c>
      <c r="AJ39" s="150">
        <v>0</v>
      </c>
      <c r="AK39" s="150">
        <v>0</v>
      </c>
      <c r="AL39" s="173">
        <v>0</v>
      </c>
      <c r="AM39" s="173">
        <v>0</v>
      </c>
      <c r="AN39" s="153">
        <f t="shared" si="26"/>
        <v>0</v>
      </c>
      <c r="AO39" s="153">
        <f t="shared" si="26"/>
        <v>0</v>
      </c>
    </row>
    <row r="40" spans="1:41">
      <c r="A40" s="59">
        <v>15</v>
      </c>
      <c r="B40" s="63" t="s">
        <v>880</v>
      </c>
      <c r="C40" s="64">
        <f t="shared" si="17"/>
        <v>0</v>
      </c>
      <c r="D40" s="64">
        <f t="shared" si="18"/>
        <v>0</v>
      </c>
      <c r="E40" s="64">
        <f t="shared" si="19"/>
        <v>0</v>
      </c>
      <c r="F40" s="64">
        <f t="shared" si="20"/>
        <v>0</v>
      </c>
      <c r="G40" s="64">
        <f t="shared" si="21"/>
        <v>0</v>
      </c>
      <c r="H40" s="110" t="str">
        <f t="shared" si="22"/>
        <v>-</v>
      </c>
      <c r="I40" s="65">
        <f>产业!I4</f>
        <v>0</v>
      </c>
      <c r="J40" s="65">
        <f>产业!J4</f>
        <v>0</v>
      </c>
      <c r="K40" s="65">
        <f>产业!K4</f>
        <v>0</v>
      </c>
      <c r="L40" s="65">
        <f>产业!L4</f>
        <v>0</v>
      </c>
      <c r="M40" s="65">
        <f>产业!M4</f>
        <v>0</v>
      </c>
      <c r="N40" s="162" t="str">
        <f t="shared" si="27"/>
        <v>-</v>
      </c>
      <c r="O40" s="121">
        <f>产业!P4</f>
        <v>0</v>
      </c>
      <c r="P40" s="121">
        <f>产业!Q4</f>
        <v>0</v>
      </c>
      <c r="Q40" s="121">
        <f>产业!R4</f>
        <v>0</v>
      </c>
      <c r="R40" s="121">
        <f>产业!S4</f>
        <v>0</v>
      </c>
      <c r="S40" s="121">
        <f>产业!T4</f>
        <v>0</v>
      </c>
      <c r="T40" s="166" t="str">
        <f t="shared" si="23"/>
        <v>-</v>
      </c>
      <c r="U40" s="87"/>
      <c r="W40" s="127" t="s">
        <v>880</v>
      </c>
      <c r="X40" s="127">
        <v>0</v>
      </c>
      <c r="Y40" s="127">
        <v>0</v>
      </c>
      <c r="Z40" s="169">
        <v>0</v>
      </c>
      <c r="AA40" s="169">
        <v>0</v>
      </c>
      <c r="AB40" s="141">
        <f t="shared" si="24"/>
        <v>0</v>
      </c>
      <c r="AC40" s="141">
        <f t="shared" si="24"/>
        <v>0</v>
      </c>
      <c r="AD40" s="142">
        <v>0</v>
      </c>
      <c r="AE40" s="142">
        <v>0</v>
      </c>
      <c r="AF40" s="170">
        <v>0</v>
      </c>
      <c r="AG40" s="170">
        <v>0</v>
      </c>
      <c r="AH40" s="149">
        <f t="shared" si="25"/>
        <v>0</v>
      </c>
      <c r="AI40" s="149">
        <f t="shared" si="25"/>
        <v>0</v>
      </c>
      <c r="AJ40" s="150">
        <v>0</v>
      </c>
      <c r="AK40" s="150">
        <v>0</v>
      </c>
      <c r="AL40" s="173">
        <v>0</v>
      </c>
      <c r="AM40" s="173">
        <v>0</v>
      </c>
      <c r="AN40" s="153">
        <f t="shared" si="26"/>
        <v>0</v>
      </c>
      <c r="AO40" s="153">
        <f t="shared" si="26"/>
        <v>0</v>
      </c>
    </row>
    <row r="41" spans="1:41">
      <c r="A41" s="59">
        <v>16</v>
      </c>
      <c r="B41" s="63" t="s">
        <v>872</v>
      </c>
      <c r="C41" s="64">
        <f t="shared" si="17"/>
        <v>2</v>
      </c>
      <c r="D41" s="64">
        <f t="shared" si="18"/>
        <v>6170</v>
      </c>
      <c r="E41" s="64">
        <f t="shared" si="19"/>
        <v>2</v>
      </c>
      <c r="F41" s="64">
        <f t="shared" si="20"/>
        <v>1</v>
      </c>
      <c r="G41" s="64">
        <f t="shared" si="21"/>
        <v>6170</v>
      </c>
      <c r="H41" s="110">
        <f t="shared" si="22"/>
        <v>1</v>
      </c>
      <c r="I41" s="65">
        <f>粮食!I4</f>
        <v>0</v>
      </c>
      <c r="J41" s="65">
        <f>粮食!J4</f>
        <v>0</v>
      </c>
      <c r="K41" s="65">
        <f>粮食!K4</f>
        <v>0</v>
      </c>
      <c r="L41" s="65">
        <f>粮食!L4</f>
        <v>0</v>
      </c>
      <c r="M41" s="65">
        <f>粮食!M4</f>
        <v>0</v>
      </c>
      <c r="N41" s="162" t="str">
        <f t="shared" si="27"/>
        <v>-</v>
      </c>
      <c r="O41" s="121">
        <f>粮食!P4</f>
        <v>2</v>
      </c>
      <c r="P41" s="121">
        <f>粮食!Q4</f>
        <v>6170</v>
      </c>
      <c r="Q41" s="121">
        <f>粮食!R4</f>
        <v>2</v>
      </c>
      <c r="R41" s="121">
        <f>粮食!S4</f>
        <v>1</v>
      </c>
      <c r="S41" s="121">
        <f>粮食!T4</f>
        <v>6170</v>
      </c>
      <c r="T41" s="166">
        <f t="shared" si="23"/>
        <v>1</v>
      </c>
      <c r="U41" s="85"/>
      <c r="W41" s="127" t="s">
        <v>872</v>
      </c>
      <c r="X41" s="127">
        <v>2</v>
      </c>
      <c r="Y41" s="127">
        <v>6170</v>
      </c>
      <c r="Z41" s="169">
        <v>2</v>
      </c>
      <c r="AA41" s="169">
        <v>6170</v>
      </c>
      <c r="AB41" s="141">
        <f t="shared" si="24"/>
        <v>0</v>
      </c>
      <c r="AC41" s="141">
        <f t="shared" si="24"/>
        <v>0</v>
      </c>
      <c r="AD41" s="142">
        <v>0</v>
      </c>
      <c r="AE41" s="142">
        <v>0</v>
      </c>
      <c r="AF41" s="170">
        <v>0</v>
      </c>
      <c r="AG41" s="170">
        <v>0</v>
      </c>
      <c r="AH41" s="149">
        <f t="shared" si="25"/>
        <v>0</v>
      </c>
      <c r="AI41" s="149">
        <f t="shared" si="25"/>
        <v>0</v>
      </c>
      <c r="AJ41" s="150">
        <v>2</v>
      </c>
      <c r="AK41" s="150">
        <v>6170</v>
      </c>
      <c r="AL41" s="173">
        <v>2</v>
      </c>
      <c r="AM41" s="173">
        <v>6170</v>
      </c>
      <c r="AN41" s="153">
        <f t="shared" si="26"/>
        <v>0</v>
      </c>
      <c r="AO41" s="153">
        <f t="shared" si="26"/>
        <v>0</v>
      </c>
    </row>
    <row r="42" spans="1:41">
      <c r="A42" s="59">
        <v>17</v>
      </c>
      <c r="B42" s="63" t="s">
        <v>1030</v>
      </c>
      <c r="C42" s="64">
        <f t="shared" si="17"/>
        <v>0</v>
      </c>
      <c r="D42" s="64">
        <f t="shared" si="18"/>
        <v>0</v>
      </c>
      <c r="E42" s="64">
        <f t="shared" si="19"/>
        <v>0</v>
      </c>
      <c r="F42" s="64">
        <f t="shared" si="20"/>
        <v>0</v>
      </c>
      <c r="G42" s="64">
        <f t="shared" si="21"/>
        <v>0</v>
      </c>
      <c r="H42" s="110" t="str">
        <f t="shared" si="22"/>
        <v>-</v>
      </c>
      <c r="I42" s="65">
        <f>生态!I4</f>
        <v>0</v>
      </c>
      <c r="J42" s="65">
        <f>生态!J4</f>
        <v>0</v>
      </c>
      <c r="K42" s="65">
        <f>生态!K4</f>
        <v>0</v>
      </c>
      <c r="L42" s="65">
        <f>生态!L4</f>
        <v>0</v>
      </c>
      <c r="M42" s="65">
        <f>生态!M4</f>
        <v>0</v>
      </c>
      <c r="N42" s="162" t="str">
        <f t="shared" si="27"/>
        <v>-</v>
      </c>
      <c r="O42" s="121">
        <f>生态!P4</f>
        <v>0</v>
      </c>
      <c r="P42" s="121">
        <f>生态!Q4</f>
        <v>0</v>
      </c>
      <c r="Q42" s="121">
        <f>生态!R4</f>
        <v>0</v>
      </c>
      <c r="R42" s="121">
        <f>生态!S4</f>
        <v>0</v>
      </c>
      <c r="S42" s="121">
        <f>生态!T4</f>
        <v>0</v>
      </c>
      <c r="T42" s="166" t="str">
        <f t="shared" si="23"/>
        <v>-</v>
      </c>
      <c r="U42" s="86"/>
      <c r="W42" s="127" t="s">
        <v>1030</v>
      </c>
      <c r="X42" s="127">
        <v>0</v>
      </c>
      <c r="Y42" s="127">
        <v>0</v>
      </c>
      <c r="Z42" s="169">
        <v>0</v>
      </c>
      <c r="AA42" s="169">
        <v>0</v>
      </c>
      <c r="AB42" s="141">
        <f t="shared" si="24"/>
        <v>0</v>
      </c>
      <c r="AC42" s="141">
        <f t="shared" si="24"/>
        <v>0</v>
      </c>
      <c r="AD42" s="142">
        <v>0</v>
      </c>
      <c r="AE42" s="142">
        <v>0</v>
      </c>
      <c r="AF42" s="170">
        <v>0</v>
      </c>
      <c r="AG42" s="170">
        <v>0</v>
      </c>
      <c r="AH42" s="149">
        <f t="shared" si="25"/>
        <v>0</v>
      </c>
      <c r="AI42" s="149">
        <f t="shared" si="25"/>
        <v>0</v>
      </c>
      <c r="AJ42" s="150">
        <v>0</v>
      </c>
      <c r="AK42" s="150">
        <v>0</v>
      </c>
      <c r="AL42" s="173">
        <v>0</v>
      </c>
      <c r="AM42" s="173">
        <v>0</v>
      </c>
      <c r="AN42" s="153">
        <f t="shared" si="26"/>
        <v>0</v>
      </c>
      <c r="AO42" s="153">
        <f t="shared" si="26"/>
        <v>0</v>
      </c>
    </row>
    <row r="43" spans="1:41">
      <c r="A43" s="59">
        <v>18</v>
      </c>
      <c r="B43" s="63" t="s">
        <v>1027</v>
      </c>
      <c r="C43" s="64">
        <f t="shared" si="17"/>
        <v>0</v>
      </c>
      <c r="D43" s="64">
        <f t="shared" si="18"/>
        <v>0</v>
      </c>
      <c r="E43" s="64">
        <f t="shared" si="19"/>
        <v>0</v>
      </c>
      <c r="F43" s="64">
        <f t="shared" si="20"/>
        <v>0</v>
      </c>
      <c r="G43" s="64">
        <f t="shared" si="21"/>
        <v>0</v>
      </c>
      <c r="H43" s="110" t="str">
        <f t="shared" si="22"/>
        <v>-</v>
      </c>
      <c r="I43" s="65">
        <f>商超!I4</f>
        <v>0</v>
      </c>
      <c r="J43" s="65">
        <f>商超!J4</f>
        <v>0</v>
      </c>
      <c r="K43" s="65">
        <f>商超!K4</f>
        <v>0</v>
      </c>
      <c r="L43" s="65">
        <f>商超!L4</f>
        <v>0</v>
      </c>
      <c r="M43" s="65">
        <f>商超!M4</f>
        <v>0</v>
      </c>
      <c r="N43" s="162" t="str">
        <f t="shared" si="27"/>
        <v>-</v>
      </c>
      <c r="O43" s="121">
        <f>商超!P4</f>
        <v>0</v>
      </c>
      <c r="P43" s="121">
        <f>商超!Q4</f>
        <v>0</v>
      </c>
      <c r="Q43" s="121">
        <f>商超!R4</f>
        <v>0</v>
      </c>
      <c r="R43" s="121">
        <f>商超!S4</f>
        <v>0</v>
      </c>
      <c r="S43" s="121">
        <f>商超!T4</f>
        <v>0</v>
      </c>
      <c r="T43" s="166" t="str">
        <f t="shared" si="23"/>
        <v>-</v>
      </c>
      <c r="U43" s="86"/>
      <c r="W43" s="127" t="s">
        <v>1027</v>
      </c>
      <c r="X43" s="127">
        <v>0</v>
      </c>
      <c r="Y43" s="127">
        <v>0</v>
      </c>
      <c r="Z43" s="169">
        <v>0</v>
      </c>
      <c r="AA43" s="169">
        <v>0</v>
      </c>
      <c r="AB43" s="141">
        <f t="shared" si="24"/>
        <v>0</v>
      </c>
      <c r="AC43" s="141">
        <f t="shared" si="24"/>
        <v>0</v>
      </c>
      <c r="AD43" s="142">
        <v>0</v>
      </c>
      <c r="AE43" s="142">
        <v>0</v>
      </c>
      <c r="AF43" s="170">
        <v>0</v>
      </c>
      <c r="AG43" s="170">
        <v>0</v>
      </c>
      <c r="AH43" s="149">
        <f t="shared" si="25"/>
        <v>0</v>
      </c>
      <c r="AI43" s="149">
        <f t="shared" si="25"/>
        <v>0</v>
      </c>
      <c r="AJ43" s="150">
        <v>0</v>
      </c>
      <c r="AK43" s="150">
        <v>0</v>
      </c>
      <c r="AL43" s="173">
        <v>0</v>
      </c>
      <c r="AM43" s="173">
        <v>0</v>
      </c>
      <c r="AN43" s="153">
        <f t="shared" si="26"/>
        <v>0</v>
      </c>
      <c r="AO43" s="153">
        <f t="shared" si="26"/>
        <v>0</v>
      </c>
    </row>
    <row r="44" spans="1:21">
      <c r="A44" t="s">
        <v>1127</v>
      </c>
      <c r="B44" s="108" t="s">
        <v>491</v>
      </c>
      <c r="C44" s="109">
        <f>C34+C35</f>
        <v>10</v>
      </c>
      <c r="D44" s="109">
        <f t="shared" ref="D44:G44" si="28">D34+D35</f>
        <v>41914.647</v>
      </c>
      <c r="E44" s="109">
        <f t="shared" si="28"/>
        <v>10</v>
      </c>
      <c r="F44" s="109">
        <f t="shared" si="28"/>
        <v>6</v>
      </c>
      <c r="G44" s="109">
        <f t="shared" si="28"/>
        <v>36601.6229</v>
      </c>
      <c r="H44" s="110">
        <f t="shared" si="22"/>
        <v>0.873</v>
      </c>
      <c r="I44" s="109">
        <f>I34+I35</f>
        <v>6</v>
      </c>
      <c r="J44" s="109">
        <f t="shared" ref="J44:M44" si="29">J34+J35</f>
        <v>307.647</v>
      </c>
      <c r="K44" s="109">
        <f t="shared" si="29"/>
        <v>6</v>
      </c>
      <c r="L44" s="109">
        <f t="shared" si="29"/>
        <v>5</v>
      </c>
      <c r="M44" s="109">
        <f t="shared" si="29"/>
        <v>301.3229</v>
      </c>
      <c r="N44" s="110">
        <f t="shared" si="27"/>
        <v>0.979</v>
      </c>
      <c r="O44" s="109">
        <f>O34+O35</f>
        <v>4</v>
      </c>
      <c r="P44" s="109">
        <f t="shared" ref="P44:S44" si="30">P34+P35</f>
        <v>41607</v>
      </c>
      <c r="Q44" s="109">
        <f t="shared" si="30"/>
        <v>4</v>
      </c>
      <c r="R44" s="109">
        <f t="shared" si="30"/>
        <v>1</v>
      </c>
      <c r="S44" s="109">
        <f t="shared" si="30"/>
        <v>36300.3</v>
      </c>
      <c r="T44" s="110">
        <f t="shared" si="23"/>
        <v>0.872</v>
      </c>
      <c r="U44" s="168"/>
    </row>
    <row r="45" spans="1:21">
      <c r="A45" s="157"/>
      <c r="B45" s="158"/>
      <c r="C45" s="109"/>
      <c r="D45" s="109"/>
      <c r="E45" s="109"/>
      <c r="F45" s="109"/>
      <c r="G45" s="109"/>
      <c r="H45" s="159"/>
      <c r="I45" s="158"/>
      <c r="J45" s="163"/>
      <c r="K45" s="158"/>
      <c r="L45" s="158"/>
      <c r="M45" s="158"/>
      <c r="N45" s="159"/>
      <c r="O45" s="158"/>
      <c r="P45" s="158"/>
      <c r="Q45" s="158"/>
      <c r="R45" s="158"/>
      <c r="S45" s="158"/>
      <c r="T45" s="159"/>
      <c r="U45" s="168"/>
    </row>
    <row r="46" spans="1:21">
      <c r="A46" s="155"/>
      <c r="B46" s="155"/>
      <c r="C46" s="155"/>
      <c r="D46" s="155"/>
      <c r="E46" s="155"/>
      <c r="F46" s="155"/>
      <c r="G46" s="155"/>
      <c r="H46" s="155"/>
      <c r="I46" s="155"/>
      <c r="J46" s="155"/>
      <c r="K46" s="155"/>
      <c r="L46" s="155"/>
      <c r="M46" s="155"/>
      <c r="N46" s="155"/>
      <c r="O46" s="155"/>
      <c r="P46" s="155"/>
      <c r="Q46" s="155"/>
      <c r="R46" s="155"/>
      <c r="S46" s="155"/>
      <c r="T46" s="155"/>
      <c r="U46" s="167"/>
    </row>
    <row r="47" spans="1:21">
      <c r="A47" s="155"/>
      <c r="B47" s="155"/>
      <c r="C47" s="155"/>
      <c r="D47" s="155"/>
      <c r="E47" s="155"/>
      <c r="F47" s="155"/>
      <c r="G47" s="155"/>
      <c r="H47" s="155"/>
      <c r="I47" s="155"/>
      <c r="J47" s="155"/>
      <c r="K47" s="155"/>
      <c r="L47" s="155"/>
      <c r="M47" s="155"/>
      <c r="N47" s="155"/>
      <c r="O47" s="155"/>
      <c r="P47" s="155"/>
      <c r="Q47" s="155"/>
      <c r="R47" s="155"/>
      <c r="S47" s="155"/>
      <c r="T47" s="155"/>
      <c r="U47" s="167"/>
    </row>
    <row r="48" spans="1:21">
      <c r="A48" s="155"/>
      <c r="B48" s="155"/>
      <c r="C48" s="155"/>
      <c r="D48" s="155"/>
      <c r="E48" s="155"/>
      <c r="F48" s="155"/>
      <c r="G48" s="155"/>
      <c r="H48" s="155"/>
      <c r="I48" s="155"/>
      <c r="J48" s="155"/>
      <c r="K48" s="155"/>
      <c r="L48" s="155"/>
      <c r="M48" s="155"/>
      <c r="N48" s="155"/>
      <c r="O48" s="155"/>
      <c r="P48" s="155"/>
      <c r="Q48" s="155"/>
      <c r="R48" s="155"/>
      <c r="S48" s="155"/>
      <c r="T48" s="155"/>
      <c r="U48" s="167"/>
    </row>
    <row r="49" spans="1:21">
      <c r="A49" s="155"/>
      <c r="B49" s="155"/>
      <c r="C49" s="155"/>
      <c r="D49" s="155"/>
      <c r="E49" s="155"/>
      <c r="F49" s="155"/>
      <c r="G49" s="155"/>
      <c r="H49" s="155"/>
      <c r="I49" s="155"/>
      <c r="J49" s="155"/>
      <c r="K49" s="155"/>
      <c r="L49" s="155"/>
      <c r="M49" s="155"/>
      <c r="N49" s="155"/>
      <c r="O49" s="155"/>
      <c r="P49" s="155"/>
      <c r="Q49" s="155"/>
      <c r="R49" s="155"/>
      <c r="S49" s="155"/>
      <c r="T49" s="155"/>
      <c r="U49" s="167"/>
    </row>
    <row r="50" spans="1:21">
      <c r="A50" s="155"/>
      <c r="B50" s="155"/>
      <c r="C50" s="155"/>
      <c r="D50" s="155"/>
      <c r="E50" s="155"/>
      <c r="F50" s="155"/>
      <c r="G50" s="155"/>
      <c r="H50" s="155"/>
      <c r="I50" s="155"/>
      <c r="J50" s="155"/>
      <c r="K50" s="155"/>
      <c r="L50" s="155"/>
      <c r="M50" s="155"/>
      <c r="N50" s="155"/>
      <c r="O50" s="155"/>
      <c r="P50" s="155"/>
      <c r="Q50" s="155"/>
      <c r="R50" s="155"/>
      <c r="S50" s="155"/>
      <c r="T50" s="155"/>
      <c r="U50" s="167"/>
    </row>
    <row r="51" spans="1:21">
      <c r="A51" s="155"/>
      <c r="B51" s="155"/>
      <c r="C51" s="155"/>
      <c r="D51" s="155"/>
      <c r="E51" s="155"/>
      <c r="F51" s="155"/>
      <c r="G51" s="155"/>
      <c r="H51" s="155"/>
      <c r="I51" s="155"/>
      <c r="J51" s="155"/>
      <c r="K51" s="155"/>
      <c r="L51" s="155"/>
      <c r="M51" s="155"/>
      <c r="N51" s="155"/>
      <c r="O51" s="155"/>
      <c r="P51" s="155"/>
      <c r="Q51" s="155"/>
      <c r="R51" s="155"/>
      <c r="S51" s="155"/>
      <c r="T51" s="155"/>
      <c r="U51" s="167"/>
    </row>
    <row r="52" spans="1:21">
      <c r="A52" s="155"/>
      <c r="B52" s="155"/>
      <c r="C52" s="155"/>
      <c r="D52" s="155"/>
      <c r="E52" s="155"/>
      <c r="F52" s="155"/>
      <c r="G52" s="155"/>
      <c r="H52" s="155"/>
      <c r="I52" s="155"/>
      <c r="J52" s="155"/>
      <c r="K52" s="155"/>
      <c r="L52" s="155"/>
      <c r="M52" s="155"/>
      <c r="N52" s="155"/>
      <c r="O52" s="155"/>
      <c r="P52" s="155"/>
      <c r="Q52" s="155"/>
      <c r="R52" s="155"/>
      <c r="S52" s="155"/>
      <c r="T52" s="155"/>
      <c r="U52" s="167"/>
    </row>
  </sheetData>
  <sheetProtection formatCells="0" formatColumns="0" formatRows="0"/>
  <mergeCells count="58">
    <mergeCell ref="A1:U1"/>
    <mergeCell ref="A2:C2"/>
    <mergeCell ref="F2:G2"/>
    <mergeCell ref="I2:K2"/>
    <mergeCell ref="L2:U2"/>
    <mergeCell ref="C3:H3"/>
    <mergeCell ref="I3:N3"/>
    <mergeCell ref="O3:T3"/>
    <mergeCell ref="X3:AC3"/>
    <mergeCell ref="AD3:AI3"/>
    <mergeCell ref="AJ3:AM3"/>
    <mergeCell ref="C4:D4"/>
    <mergeCell ref="E4:G4"/>
    <mergeCell ref="I4:J4"/>
    <mergeCell ref="K4:M4"/>
    <mergeCell ref="O4:P4"/>
    <mergeCell ref="Q4:S4"/>
    <mergeCell ref="X4:Y4"/>
    <mergeCell ref="Z4:AA4"/>
    <mergeCell ref="AB4:AC4"/>
    <mergeCell ref="AD4:AE4"/>
    <mergeCell ref="AF4:AG4"/>
    <mergeCell ref="AH4:AI4"/>
    <mergeCell ref="AJ4:AK4"/>
    <mergeCell ref="AL4:AM4"/>
    <mergeCell ref="AN4:AO4"/>
    <mergeCell ref="A20:U20"/>
    <mergeCell ref="A21:B21"/>
    <mergeCell ref="F21:G21"/>
    <mergeCell ref="I21:K21"/>
    <mergeCell ref="L21:U21"/>
    <mergeCell ref="C22:H22"/>
    <mergeCell ref="I22:N22"/>
    <mergeCell ref="O22:T22"/>
    <mergeCell ref="X22:AC22"/>
    <mergeCell ref="AD22:AI22"/>
    <mergeCell ref="AJ22:AO22"/>
    <mergeCell ref="C23:D23"/>
    <mergeCell ref="E23:G23"/>
    <mergeCell ref="I23:J23"/>
    <mergeCell ref="K23:M23"/>
    <mergeCell ref="O23:P23"/>
    <mergeCell ref="Q23:S23"/>
    <mergeCell ref="X23:Y23"/>
    <mergeCell ref="Z23:AA23"/>
    <mergeCell ref="AB23:AC23"/>
    <mergeCell ref="AD23:AE23"/>
    <mergeCell ref="AF23:AG23"/>
    <mergeCell ref="AH23:AI23"/>
    <mergeCell ref="AJ23:AK23"/>
    <mergeCell ref="AL23:AM23"/>
    <mergeCell ref="AN23:AO23"/>
    <mergeCell ref="A3:A5"/>
    <mergeCell ref="A22:A24"/>
    <mergeCell ref="B3:B5"/>
    <mergeCell ref="B22:B24"/>
    <mergeCell ref="U3:U5"/>
    <mergeCell ref="U22:U24"/>
  </mergeCells>
  <pageMargins left="0.7" right="0.7"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7"/>
  <sheetViews>
    <sheetView zoomScale="90" zoomScaleNormal="90" workbookViewId="0">
      <pane ySplit="6" topLeftCell="A7" activePane="bottomLeft" state="frozen"/>
      <selection/>
      <selection pane="bottomLeft" activeCell="Q16" sqref="Q16"/>
    </sheetView>
  </sheetViews>
  <sheetFormatPr defaultColWidth="9" defaultRowHeight="13.5" outlineLevelRow="6"/>
  <cols>
    <col min="32" max="33" width="10.6333333333333" customWidth="1"/>
  </cols>
  <sheetData>
    <row r="1" ht="14.15" customHeight="1" spans="1:21">
      <c r="A1" s="2" t="s">
        <v>1272</v>
      </c>
      <c r="B1" s="3"/>
      <c r="C1" s="3"/>
      <c r="D1" s="3"/>
      <c r="E1" s="3"/>
      <c r="F1" s="3"/>
      <c r="G1" s="4"/>
      <c r="H1" s="5" t="s">
        <v>1273</v>
      </c>
      <c r="I1" s="5"/>
      <c r="J1" s="5"/>
      <c r="K1" s="5"/>
      <c r="L1" s="5"/>
      <c r="M1" s="5"/>
      <c r="N1" s="5"/>
      <c r="O1" s="16" t="s">
        <v>1274</v>
      </c>
      <c r="P1" s="16"/>
      <c r="Q1" s="16"/>
      <c r="R1" s="16"/>
      <c r="S1" s="16"/>
      <c r="T1" s="16"/>
      <c r="U1" s="16"/>
    </row>
    <row r="2" ht="27" spans="1:37">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c r="AA2" s="1"/>
      <c r="AB2" s="1"/>
      <c r="AC2" s="1"/>
      <c r="AD2" s="1"/>
      <c r="AE2" s="1"/>
      <c r="AF2" s="1"/>
      <c r="AG2" s="1"/>
      <c r="AH2" s="1"/>
      <c r="AI2" s="1"/>
      <c r="AJ2" s="1"/>
      <c r="AK2" s="1"/>
    </row>
    <row r="3" spans="1:37">
      <c r="A3" s="9" t="s">
        <v>1146</v>
      </c>
      <c r="B3" s="10">
        <f>I3+P3</f>
        <v>1</v>
      </c>
      <c r="C3" s="10">
        <f t="shared" ref="C3:F4" si="0">J3+Q3</f>
        <v>6000</v>
      </c>
      <c r="D3" s="10">
        <f t="shared" si="0"/>
        <v>1</v>
      </c>
      <c r="E3" s="10">
        <f t="shared" si="0"/>
        <v>0</v>
      </c>
      <c r="F3" s="10">
        <f t="shared" si="0"/>
        <v>423</v>
      </c>
      <c r="G3" s="11">
        <f>IF(C3=0,"-",ROUND(F3/C3,3))</f>
        <v>0.071</v>
      </c>
      <c r="H3" s="8" t="s">
        <v>1146</v>
      </c>
      <c r="I3" s="17">
        <f>COUNT(E7:E122)</f>
        <v>0</v>
      </c>
      <c r="J3" s="21">
        <f>SUM(E7:E122)</f>
        <v>0</v>
      </c>
      <c r="K3" s="21">
        <f>COUNTIF(I7:I122,"在建")+COUNTIF(I7:I122,"完工")</f>
        <v>0</v>
      </c>
      <c r="L3" s="21">
        <f>COUNTIF(I7:I122,"完工")</f>
        <v>0</v>
      </c>
      <c r="M3" s="17">
        <f>SUM(J7:J122)</f>
        <v>0</v>
      </c>
      <c r="N3" s="22" t="str">
        <f>IF(J3=0,"-",ROUND(M3/J3,3))</f>
        <v>-</v>
      </c>
      <c r="O3" s="19" t="s">
        <v>1146</v>
      </c>
      <c r="P3" s="20">
        <f>COUNT(X7:X122)</f>
        <v>1</v>
      </c>
      <c r="Q3" s="24">
        <f>SUM(X7:X122)</f>
        <v>6000</v>
      </c>
      <c r="R3" s="24">
        <f>COUNTIF(AB7:AB122,"在建")+COUNTIF(AB7:AB122,"完工")</f>
        <v>1</v>
      </c>
      <c r="S3" s="24">
        <f>COUNTIF(AB7:AB122,"完工")</f>
        <v>0</v>
      </c>
      <c r="T3" s="20">
        <f>SUM(AC7:AC122)</f>
        <v>423</v>
      </c>
      <c r="U3" s="25">
        <f>IF(Q3=0,"-",ROUND(T3/Q3,3))</f>
        <v>0.071</v>
      </c>
      <c r="AA3" s="1"/>
      <c r="AB3" s="1"/>
      <c r="AC3" s="1"/>
      <c r="AD3" s="1"/>
      <c r="AE3" s="1"/>
      <c r="AF3" s="1"/>
      <c r="AG3" s="1"/>
      <c r="AH3" s="1"/>
      <c r="AI3" s="1"/>
      <c r="AJ3" s="1"/>
      <c r="AK3" s="1"/>
    </row>
    <row r="4" ht="27" spans="1:37">
      <c r="A4" s="9" t="s">
        <v>1147</v>
      </c>
      <c r="B4" s="10">
        <f>I4+P4</f>
        <v>1</v>
      </c>
      <c r="C4" s="10">
        <f t="shared" si="0"/>
        <v>300</v>
      </c>
      <c r="D4" s="10">
        <f t="shared" si="0"/>
        <v>1</v>
      </c>
      <c r="E4" s="10">
        <f t="shared" si="0"/>
        <v>0</v>
      </c>
      <c r="F4" s="10">
        <f t="shared" si="0"/>
        <v>423</v>
      </c>
      <c r="G4" s="12">
        <f>IF(C4=0,"-",ROUND(F4/C4,3))</f>
        <v>1.41</v>
      </c>
      <c r="H4" s="8" t="s">
        <v>1148</v>
      </c>
      <c r="I4" s="17">
        <f>COUNTIF(G7:G122,"&gt;0")</f>
        <v>0</v>
      </c>
      <c r="J4" s="21">
        <f>SUM(G7:G122)</f>
        <v>0</v>
      </c>
      <c r="K4" s="21">
        <f>COUNTIFS(G7:G122,"&gt;0",I7:I122,"完工")+COUNTIFS(G7:G122,"&gt;0",I7:I122,"在建")</f>
        <v>0</v>
      </c>
      <c r="L4" s="21">
        <f>COUNTIFS(G7:G122,"&gt;0",I7:I122,"完工")</f>
        <v>0</v>
      </c>
      <c r="M4" s="17">
        <f>SUM(K7:K122)</f>
        <v>0</v>
      </c>
      <c r="N4" s="22" t="str">
        <f>IF(J4=0,"-",ROUND(M4/J4,3))</f>
        <v>-</v>
      </c>
      <c r="O4" s="19" t="s">
        <v>1148</v>
      </c>
      <c r="P4" s="20">
        <f>COUNTIF(Z7:Z122,"&gt;0")</f>
        <v>1</v>
      </c>
      <c r="Q4" s="24">
        <f>SUM(Z7:Z122)</f>
        <v>300</v>
      </c>
      <c r="R4" s="24">
        <f>COUNTIFS(Z7:Z122,"&gt;0",AB7:AB122,"完工")+COUNTIFS(Z7:Z122,"&gt;0",AB7:AB122,"在建")</f>
        <v>1</v>
      </c>
      <c r="S4" s="24">
        <f>COUNTIFS(Z7:Z122,"&gt;0",AB7:AB122,"完工")</f>
        <v>0</v>
      </c>
      <c r="T4" s="20">
        <f>SUM(AD7:AD122)</f>
        <v>423</v>
      </c>
      <c r="U4" s="25">
        <f>IF(Q4=0,"-",ROUND(T4/Q4,3))</f>
        <v>1.41</v>
      </c>
      <c r="AA4" s="1"/>
      <c r="AB4" s="1"/>
      <c r="AC4" s="1"/>
      <c r="AD4" s="1"/>
      <c r="AE4" s="1"/>
      <c r="AF4" s="1"/>
      <c r="AG4" s="1"/>
      <c r="AH4" s="1"/>
      <c r="AI4" s="1"/>
      <c r="AJ4" s="1"/>
      <c r="AK4" s="1"/>
    </row>
    <row r="5" spans="1:37">
      <c r="A5" s="13" t="s">
        <v>1275</v>
      </c>
      <c r="B5" s="14"/>
      <c r="C5" s="14"/>
      <c r="D5" s="14"/>
      <c r="E5" s="14"/>
      <c r="F5" s="14"/>
      <c r="G5" s="14"/>
      <c r="H5" s="14"/>
      <c r="I5" s="14"/>
      <c r="J5" s="14"/>
      <c r="K5" s="14"/>
      <c r="L5" s="14"/>
      <c r="M5" s="14"/>
      <c r="N5" s="14"/>
      <c r="O5" s="14"/>
      <c r="P5" s="14"/>
      <c r="Q5" s="14"/>
      <c r="R5" s="14"/>
      <c r="T5" s="13" t="s">
        <v>1276</v>
      </c>
      <c r="U5" s="14"/>
      <c r="V5" s="14"/>
      <c r="W5" s="14"/>
      <c r="X5" s="14"/>
      <c r="Y5" s="14"/>
      <c r="Z5" s="14"/>
      <c r="AA5" s="14"/>
      <c r="AB5" s="14"/>
      <c r="AC5" s="14"/>
      <c r="AD5" s="14"/>
      <c r="AE5" s="14"/>
      <c r="AF5" s="14"/>
      <c r="AG5" s="14"/>
      <c r="AH5" s="14"/>
      <c r="AI5" s="14"/>
      <c r="AJ5" s="14"/>
      <c r="AK5" s="14"/>
    </row>
    <row r="6"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20:37">
      <c r="T7">
        <f>'附件4 规划外'!A111</f>
        <v>124</v>
      </c>
      <c r="U7" t="str">
        <f>'附件4 规划外'!B111</f>
        <v>祥符区文旅保护提升工程</v>
      </c>
      <c r="V7" t="str">
        <f>'附件4 规划外'!C111</f>
        <v>文物保护</v>
      </c>
      <c r="W7" t="str">
        <f>'附件4 规划外'!D111</f>
        <v>祥符区文物保护工程，包括文物本体保护和修缮，以及“三防”工程建设，计划投资1000万。
朱仙镇保护提升、环境整治工程，包括街道环境提升、运粮河治理保护、周边环境整治等，计划投资5000万。</v>
      </c>
      <c r="X7">
        <f>'附件4 规划外'!E111</f>
        <v>6000</v>
      </c>
      <c r="Y7">
        <f>'附件4 规划外'!F111</f>
        <v>0</v>
      </c>
      <c r="Z7">
        <f>'附件4 规划外'!G111</f>
        <v>300</v>
      </c>
      <c r="AA7">
        <f>'附件4 规划外'!H111</f>
        <v>5700</v>
      </c>
      <c r="AB7" t="str">
        <f>'附件4 规划外'!I111</f>
        <v>在建</v>
      </c>
      <c r="AC7">
        <f>'附件4 规划外'!J111</f>
        <v>423</v>
      </c>
      <c r="AD7">
        <f>'附件4 规划外'!K111</f>
        <v>423</v>
      </c>
      <c r="AE7" t="str">
        <f>'附件4 规划外'!L111</f>
        <v>朱仙镇岳飞庙（含关帝庙）维修方案已编制完成；朱仙镇清真寺安防工程已完成100%；朱仙镇大石桥维修工程正在实施，资金55万元；朱仙镇岳飞庙（含关帝庙）防雷二期工程、朱仙镇清真寺防雷二期工程正在走程序，资金分别为26万元、21万元。</v>
      </c>
      <c r="AF7" s="26">
        <f>'附件4 规划外'!M111</f>
        <v>44713</v>
      </c>
      <c r="AG7" s="26">
        <f>'附件4 规划外'!N111</f>
        <v>45139</v>
      </c>
      <c r="AH7" t="str">
        <f>'附件4 规划外'!O111</f>
        <v>市文化广电旅游局</v>
      </c>
      <c r="AI7" t="str">
        <f>'附件4 规划外'!P111</f>
        <v>祥符区</v>
      </c>
      <c r="AJ7">
        <f>'附件4 规划外'!Q111</f>
        <v>0</v>
      </c>
      <c r="AK7">
        <f>'附件4 规划外'!R111</f>
        <v>0</v>
      </c>
    </row>
  </sheetData>
  <sheetProtection sheet="1" formatCells="0" formatColumns="0" formatRows="0" sort="0" autoFilter="0" objects="1" scenarios="1"/>
  <autoFilter ref="A6:AK7">
    <extLst/>
  </autoFilter>
  <mergeCells count="5">
    <mergeCell ref="A1:G1"/>
    <mergeCell ref="H1:N1"/>
    <mergeCell ref="O1:U1"/>
    <mergeCell ref="A5:R5"/>
    <mergeCell ref="T5:AK5"/>
  </mergeCell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8"/>
  <sheetViews>
    <sheetView zoomScale="90" zoomScaleNormal="90" workbookViewId="0">
      <pane ySplit="6" topLeftCell="A7" activePane="bottomLeft" state="frozen"/>
      <selection/>
      <selection pane="bottomLeft" activeCell="Q16" sqref="Q16"/>
    </sheetView>
  </sheetViews>
  <sheetFormatPr defaultColWidth="9" defaultRowHeight="13.5" outlineLevelRow="7"/>
  <cols>
    <col min="1" max="4" width="9" style="30"/>
    <col min="5" max="5" width="9.36666666666667" style="30"/>
    <col min="6" max="12" width="9" style="30"/>
    <col min="13" max="14" width="11.3666666666667" style="30" customWidth="1"/>
    <col min="15" max="19" width="9" style="30"/>
    <col min="20" max="20" width="11.3666666666667" style="30" customWidth="1"/>
    <col min="21" max="22" width="11" style="30" customWidth="1"/>
    <col min="23" max="23" width="11.2666666666667" style="30" customWidth="1"/>
    <col min="24" max="24" width="10.0916666666667" style="30" customWidth="1"/>
    <col min="25" max="25" width="13.6333333333333" style="30" customWidth="1"/>
    <col min="26" max="16384" width="9" style="30"/>
  </cols>
  <sheetData>
    <row r="1" ht="14.15" customHeight="1" spans="1:21">
      <c r="A1" s="2" t="s">
        <v>1277</v>
      </c>
      <c r="B1" s="3"/>
      <c r="C1" s="3"/>
      <c r="D1" s="3"/>
      <c r="E1" s="3"/>
      <c r="F1" s="3"/>
      <c r="G1" s="4"/>
      <c r="H1" s="5" t="s">
        <v>1278</v>
      </c>
      <c r="I1" s="5"/>
      <c r="J1" s="5"/>
      <c r="K1" s="5"/>
      <c r="L1" s="5"/>
      <c r="M1" s="5"/>
      <c r="N1" s="5"/>
      <c r="O1" s="16" t="s">
        <v>1279</v>
      </c>
      <c r="P1" s="16"/>
      <c r="Q1" s="16"/>
      <c r="R1" s="16"/>
      <c r="S1" s="16"/>
      <c r="T1" s="16"/>
      <c r="U1" s="16"/>
    </row>
    <row r="2"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pans="1:21">
      <c r="A3" s="9" t="s">
        <v>1146</v>
      </c>
      <c r="B3" s="10">
        <f>I3+P3</f>
        <v>2</v>
      </c>
      <c r="C3" s="10">
        <f t="shared" ref="C3:F4" si="0">J3+Q3</f>
        <v>17183.31</v>
      </c>
      <c r="D3" s="10">
        <f t="shared" si="0"/>
        <v>2</v>
      </c>
      <c r="E3" s="10">
        <f t="shared" si="0"/>
        <v>2</v>
      </c>
      <c r="F3" s="10">
        <f t="shared" si="0"/>
        <v>17183.31</v>
      </c>
      <c r="G3" s="11">
        <f>IF(C3=0,"-",ROUND(F3/C3,3))</f>
        <v>1</v>
      </c>
      <c r="H3" s="8" t="s">
        <v>1146</v>
      </c>
      <c r="I3" s="17">
        <f>COUNT(E7:E122)</f>
        <v>2</v>
      </c>
      <c r="J3" s="21">
        <f>SUM(E7:E122)</f>
        <v>17183.31</v>
      </c>
      <c r="K3" s="21">
        <f>COUNTIF(I7:I122,"在建")+COUNTIF(I7:I122,"完工")</f>
        <v>2</v>
      </c>
      <c r="L3" s="21">
        <f>COUNTIF(I7:I122,"完工")</f>
        <v>2</v>
      </c>
      <c r="M3" s="17">
        <f>SUM(J7:J122)</f>
        <v>17183.31</v>
      </c>
      <c r="N3" s="22">
        <f>IF(J3=0,"-",ROUND(M3/J3,3))</f>
        <v>1</v>
      </c>
      <c r="O3" s="19" t="s">
        <v>1146</v>
      </c>
      <c r="P3" s="20">
        <f>COUNT(X7:X122)</f>
        <v>0</v>
      </c>
      <c r="Q3" s="24">
        <f>SUM(X7:X122)</f>
        <v>0</v>
      </c>
      <c r="R3" s="24">
        <f>COUNTIF(AB7:AB122,"在建")+COUNTIF(AB7:AB122,"完工")</f>
        <v>0</v>
      </c>
      <c r="S3" s="24">
        <f>COUNTIF(AB7:AB122,"完工")</f>
        <v>0</v>
      </c>
      <c r="T3" s="20">
        <f>SUM(AC7:AC122)</f>
        <v>0</v>
      </c>
      <c r="U3" s="25" t="str">
        <f>IF(Q3=0,"-",ROUND(T3/Q3,3))</f>
        <v>-</v>
      </c>
    </row>
    <row r="4" ht="27" spans="1:21">
      <c r="A4" s="9" t="s">
        <v>1147</v>
      </c>
      <c r="B4" s="10">
        <f>I4+P4</f>
        <v>2</v>
      </c>
      <c r="C4" s="10">
        <f t="shared" si="0"/>
        <v>8183.31</v>
      </c>
      <c r="D4" s="10">
        <f t="shared" si="0"/>
        <v>2</v>
      </c>
      <c r="E4" s="10">
        <f t="shared" si="0"/>
        <v>2</v>
      </c>
      <c r="F4" s="10">
        <f t="shared" si="0"/>
        <v>8183.31</v>
      </c>
      <c r="G4" s="12">
        <f>IF(C4=0,"-",ROUND(F4/C4,3))</f>
        <v>1</v>
      </c>
      <c r="H4" s="8" t="s">
        <v>1148</v>
      </c>
      <c r="I4" s="17">
        <f>COUNTIF(G7:G122,"&gt;0")</f>
        <v>2</v>
      </c>
      <c r="J4" s="21">
        <f>SUM(G7:G122)</f>
        <v>8183.31</v>
      </c>
      <c r="K4" s="21">
        <f>COUNTIFS(G7:G122,"&gt;0",I7:I122,"完工")+COUNTIFS(G7:G122,"&gt;0",I7:I122,"在建")</f>
        <v>2</v>
      </c>
      <c r="L4" s="21">
        <f>COUNTIFS(G7:G122,"&gt;0",I7:I122,"完工")</f>
        <v>2</v>
      </c>
      <c r="M4" s="17">
        <f>SUM(K7:K122)</f>
        <v>8183.31</v>
      </c>
      <c r="N4" s="22">
        <f>IF(J4=0,"-",ROUND(M4/J4,3))</f>
        <v>1</v>
      </c>
      <c r="O4" s="19" t="s">
        <v>1148</v>
      </c>
      <c r="P4" s="20">
        <f>COUNTIF(Z7:Z122,"&gt;0")</f>
        <v>0</v>
      </c>
      <c r="Q4" s="24">
        <f>SUM(Z7:Z122)</f>
        <v>0</v>
      </c>
      <c r="R4" s="24">
        <f>COUNTIFS(Z7:Z122,"&gt;0",AB7:AB122,"完工")+COUNTIFS(Z7:Z122,"&gt;0",AB7:AB122,"在建")</f>
        <v>0</v>
      </c>
      <c r="S4" s="24">
        <f>COUNTIFS(Z7:Z122,"&gt;0",AB7:AB122,"完工")</f>
        <v>0</v>
      </c>
      <c r="T4" s="20">
        <f>SUM(AD7:AD122)</f>
        <v>0</v>
      </c>
      <c r="U4" s="25" t="str">
        <f>IF(Q4=0,"-",ROUND(T4/Q4,3))</f>
        <v>-</v>
      </c>
    </row>
    <row r="5" spans="1:37">
      <c r="A5" s="13" t="s">
        <v>1280</v>
      </c>
      <c r="B5" s="14"/>
      <c r="C5" s="14"/>
      <c r="D5" s="14"/>
      <c r="E5" s="14"/>
      <c r="F5" s="14"/>
      <c r="G5" s="14"/>
      <c r="H5" s="14"/>
      <c r="I5" s="14"/>
      <c r="J5" s="14"/>
      <c r="K5" s="14"/>
      <c r="L5" s="14"/>
      <c r="M5" s="14"/>
      <c r="N5" s="14"/>
      <c r="O5" s="14"/>
      <c r="P5" s="14"/>
      <c r="Q5" s="14"/>
      <c r="R5" s="14"/>
      <c r="T5" s="13" t="s">
        <v>1281</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18">
      <c r="A7" s="30">
        <f>'附件3 规划内'!A245</f>
        <v>226</v>
      </c>
      <c r="B7" s="30" t="str">
        <f>'附件3 规划内'!B245</f>
        <v>禹王台区应急物资储备中心</v>
      </c>
      <c r="C7" s="30" t="str">
        <f>'附件3 规划内'!C245</f>
        <v>应急</v>
      </c>
      <c r="D7" s="30" t="str">
        <f>'附件3 规划内'!D245</f>
        <v>应急指挥大厅、配套办公楼、消防配套用房、应急物资储备库建设。</v>
      </c>
      <c r="E7" s="30">
        <f>'附件3 规划内'!E245</f>
        <v>4000</v>
      </c>
      <c r="F7" s="30">
        <f>'附件3 规划内'!F245</f>
        <v>3200</v>
      </c>
      <c r="G7" s="30">
        <f>'附件3 规划内'!G245</f>
        <v>800</v>
      </c>
      <c r="H7" s="30">
        <f>'附件3 规划内'!H245</f>
        <v>0</v>
      </c>
      <c r="I7" s="30" t="str">
        <f>'附件3 规划内'!I245</f>
        <v>完工</v>
      </c>
      <c r="J7" s="30">
        <f>'附件3 规划内'!J245</f>
        <v>4000</v>
      </c>
      <c r="K7" s="30">
        <f>'附件3 规划内'!K245</f>
        <v>800</v>
      </c>
      <c r="L7" s="30">
        <f>'附件3 规划内'!L245</f>
        <v>0</v>
      </c>
      <c r="M7" s="31">
        <f>'附件3 规划内'!M245</f>
        <v>44501</v>
      </c>
      <c r="N7" s="31">
        <f>'附件3 规划内'!N245</f>
        <v>44865</v>
      </c>
      <c r="O7" s="30" t="str">
        <f>'附件3 规划内'!O245</f>
        <v>市应急局</v>
      </c>
      <c r="P7" s="30" t="str">
        <f>'附件3 规划内'!P245</f>
        <v>禹王台区</v>
      </c>
      <c r="Q7" s="30">
        <f>'附件3 规划内'!Q245</f>
        <v>0</v>
      </c>
      <c r="R7" s="30">
        <f>'附件3 规划内'!R245</f>
        <v>0</v>
      </c>
    </row>
    <row r="8" spans="1:18">
      <c r="A8" s="30">
        <f>'附件3 规划内'!A246</f>
        <v>227</v>
      </c>
      <c r="B8" s="30" t="str">
        <f>'附件3 规划内'!B246</f>
        <v>兰考县医疗应急物资储备库项目</v>
      </c>
      <c r="C8" s="30" t="str">
        <f>'附件3 规划内'!C246</f>
        <v>应急</v>
      </c>
      <c r="D8" s="30" t="str">
        <f>'附件3 规划内'!D246</f>
        <v>占地52.36亩，总建筑面积22341.53平方米。其中1、3号仓库地上一层；2号仓库地上两层。</v>
      </c>
      <c r="E8" s="30">
        <f>'附件3 规划内'!E246</f>
        <v>13183.31</v>
      </c>
      <c r="F8" s="30">
        <f>'附件3 规划内'!F246</f>
        <v>5800</v>
      </c>
      <c r="G8" s="30">
        <f>'附件3 规划内'!G246</f>
        <v>7383.31</v>
      </c>
      <c r="H8" s="30">
        <f>'附件3 规划内'!H246</f>
        <v>0</v>
      </c>
      <c r="I8" s="30" t="str">
        <f>'附件3 规划内'!I246</f>
        <v>完工</v>
      </c>
      <c r="J8" s="30">
        <f>'附件3 规划内'!J246</f>
        <v>13183.31</v>
      </c>
      <c r="K8" s="30">
        <f>'附件3 规划内'!K246</f>
        <v>7383.31</v>
      </c>
      <c r="L8" s="30" t="str">
        <f>'附件3 规划内'!L246</f>
        <v>一号储备库、三号储备库土方回填，二号储备库模板加工及安装。</v>
      </c>
      <c r="M8" s="31">
        <f>'附件3 规划内'!M246</f>
        <v>44348</v>
      </c>
      <c r="N8" s="31">
        <f>'附件3 规划内'!N246</f>
        <v>44896</v>
      </c>
      <c r="O8" s="30" t="str">
        <f>'附件3 规划内'!O246</f>
        <v>市应急局</v>
      </c>
      <c r="P8" s="30" t="str">
        <f>'附件3 规划内'!P246</f>
        <v>兰考县</v>
      </c>
      <c r="Q8" s="30">
        <f>'附件3 规划内'!Q246</f>
        <v>0</v>
      </c>
      <c r="R8" s="30">
        <f>'附件3 规划内'!R246</f>
        <v>0</v>
      </c>
    </row>
  </sheetData>
  <sheetProtection sheet="1" formatCells="0" formatColumns="0" formatRows="0" sort="0" autoFilter="0" objects="1" scenarios="1"/>
  <autoFilter ref="A6:AK8">
    <extLst/>
  </autoFilter>
  <mergeCells count="5">
    <mergeCell ref="A1:G1"/>
    <mergeCell ref="H1:N1"/>
    <mergeCell ref="O1:U1"/>
    <mergeCell ref="A5:R5"/>
    <mergeCell ref="T5:AK5"/>
  </mergeCell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05"/>
  <sheetViews>
    <sheetView zoomScale="90" zoomScaleNormal="90" workbookViewId="0">
      <pane ySplit="6" topLeftCell="A16" activePane="bottomLeft" state="frozen"/>
      <selection/>
      <selection pane="bottomLeft" activeCell="J43" sqref="J43"/>
    </sheetView>
  </sheetViews>
  <sheetFormatPr defaultColWidth="9" defaultRowHeight="13.5"/>
  <cols>
    <col min="5" max="5" width="11.45"/>
    <col min="6" max="6" width="9.36666666666667"/>
    <col min="10" max="10" width="9.36666666666667"/>
    <col min="13" max="14" width="11.9083333333333" customWidth="1"/>
    <col min="32" max="32" width="10.9083333333333" customWidth="1"/>
    <col min="33" max="33" width="11.9083333333333" customWidth="1"/>
  </cols>
  <sheetData>
    <row r="1" ht="14.15" customHeight="1" spans="1:21">
      <c r="A1" s="2" t="s">
        <v>1282</v>
      </c>
      <c r="B1" s="3"/>
      <c r="C1" s="3"/>
      <c r="D1" s="3"/>
      <c r="E1" s="3"/>
      <c r="F1" s="3"/>
      <c r="G1" s="4"/>
      <c r="H1" s="5" t="s">
        <v>1283</v>
      </c>
      <c r="I1" s="5"/>
      <c r="J1" s="5"/>
      <c r="K1" s="5"/>
      <c r="L1" s="5"/>
      <c r="M1" s="5"/>
      <c r="N1" s="5"/>
      <c r="O1" s="16" t="s">
        <v>1284</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110</v>
      </c>
      <c r="C3" s="10">
        <f t="shared" ref="C3:F4" si="0">J3+Q3</f>
        <v>2157.24</v>
      </c>
      <c r="D3" s="10">
        <f t="shared" si="0"/>
        <v>110</v>
      </c>
      <c r="E3" s="10">
        <f t="shared" si="0"/>
        <v>110</v>
      </c>
      <c r="F3" s="10">
        <f t="shared" si="0"/>
        <v>2157.24</v>
      </c>
      <c r="G3" s="11">
        <f>IF(C3=0,"-",ROUND(F3/C3,3))</f>
        <v>1</v>
      </c>
      <c r="H3" s="8" t="s">
        <v>1146</v>
      </c>
      <c r="I3" s="17">
        <f>COUNT(E7:E122)</f>
        <v>99</v>
      </c>
      <c r="J3" s="21">
        <f>SUM(E7:E122)</f>
        <v>2150.18</v>
      </c>
      <c r="K3" s="21">
        <f>COUNTIF(I7:I122,"在建")+COUNTIF(I7:I122,"完工")</f>
        <v>99</v>
      </c>
      <c r="L3" s="21">
        <f>COUNTIF(I7:I122,"完工")</f>
        <v>99</v>
      </c>
      <c r="M3" s="17">
        <f>SUM(J7:J105)</f>
        <v>2150.18</v>
      </c>
      <c r="N3" s="22">
        <f>IF(J3=0,"-",ROUND(M3/J3,3))</f>
        <v>1</v>
      </c>
      <c r="O3" s="19" t="s">
        <v>1146</v>
      </c>
      <c r="P3" s="20">
        <f>COUNT(X7:X122)</f>
        <v>11</v>
      </c>
      <c r="Q3" s="24">
        <f>SUM(X7:X122)</f>
        <v>7.06</v>
      </c>
      <c r="R3" s="24">
        <f>COUNTIF(AB7:AB122,"在建")+COUNTIF(AB7:AB122,"完工")</f>
        <v>11</v>
      </c>
      <c r="S3" s="24">
        <f>COUNTIF(AB7:AB122,"完工")</f>
        <v>11</v>
      </c>
      <c r="T3" s="20">
        <f>SUM(AC7:AC122)</f>
        <v>7.06</v>
      </c>
      <c r="U3" s="25">
        <f>IF(Q3=0,"-",ROUND(T3/Q3,3))</f>
        <v>1</v>
      </c>
    </row>
    <row r="4" s="1" customFormat="1" ht="27" spans="1:21">
      <c r="A4" s="9" t="s">
        <v>1147</v>
      </c>
      <c r="B4" s="10">
        <f>I4+P4</f>
        <v>6</v>
      </c>
      <c r="C4" s="10">
        <f t="shared" si="0"/>
        <v>1132.568972</v>
      </c>
      <c r="D4" s="10">
        <f t="shared" si="0"/>
        <v>6</v>
      </c>
      <c r="E4" s="10">
        <f t="shared" si="0"/>
        <v>6</v>
      </c>
      <c r="F4" s="10">
        <f t="shared" si="0"/>
        <v>1132.568972</v>
      </c>
      <c r="G4" s="12">
        <f>IF(C4=0,"-",ROUND(F4/C4,3))</f>
        <v>1</v>
      </c>
      <c r="H4" s="8" t="s">
        <v>1148</v>
      </c>
      <c r="I4" s="17">
        <f>COUNTIF(G7:G122,"&gt;0")</f>
        <v>6</v>
      </c>
      <c r="J4" s="21">
        <f>SUM(G7:G122)</f>
        <v>1132.568972</v>
      </c>
      <c r="K4" s="21">
        <f>COUNTIFS(G7:G122,"&gt;0",I7:I122,"完工")+COUNTIFS(G7:G122,"&gt;0",I7:I122,"在建")</f>
        <v>6</v>
      </c>
      <c r="L4" s="21">
        <f>COUNTIFS(G7:G122,"&gt;0",I7:I122,"完工")</f>
        <v>6</v>
      </c>
      <c r="M4" s="17">
        <f>SUM(K7:K122)</f>
        <v>1132.568972</v>
      </c>
      <c r="N4" s="22">
        <f>IF(J4=0,"-",ROUND(M4/J4,3))</f>
        <v>1</v>
      </c>
      <c r="O4" s="19" t="s">
        <v>1148</v>
      </c>
      <c r="P4" s="20">
        <f>COUNTIF(Z7:Z122,"&gt;0")</f>
        <v>0</v>
      </c>
      <c r="Q4" s="24">
        <f>SUM(Z7:Z122)</f>
        <v>0</v>
      </c>
      <c r="R4" s="24">
        <f>COUNTIFS(Z7:Z122,"&gt;0",AB7:AB122,"完工")+COUNTIFS(Z7:Z122,"&gt;0",AB7:AB122,"在建")</f>
        <v>0</v>
      </c>
      <c r="S4" s="24">
        <f>COUNTIFS(Z7:Z122,"&gt;0",AB7:AB122,"完工")</f>
        <v>0</v>
      </c>
      <c r="T4" s="20">
        <f>SUM(AD7:AD122)</f>
        <v>0</v>
      </c>
      <c r="U4" s="25" t="str">
        <f>IF(Q4=0,"-",ROUND(T4/Q4,3))</f>
        <v>-</v>
      </c>
    </row>
    <row r="5" s="1" customFormat="1" spans="1:37">
      <c r="A5" s="13" t="s">
        <v>1285</v>
      </c>
      <c r="B5" s="14"/>
      <c r="C5" s="14"/>
      <c r="D5" s="14"/>
      <c r="E5" s="14"/>
      <c r="F5" s="14"/>
      <c r="G5" s="14"/>
      <c r="H5" s="14"/>
      <c r="I5" s="14"/>
      <c r="J5" s="14"/>
      <c r="K5" s="14"/>
      <c r="L5" s="14"/>
      <c r="M5" s="14"/>
      <c r="N5" s="14"/>
      <c r="O5" s="14"/>
      <c r="P5" s="14"/>
      <c r="Q5" s="14"/>
      <c r="R5" s="14"/>
      <c r="T5" s="13" t="s">
        <v>1286</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规划内'!A97</f>
        <v>96</v>
      </c>
      <c r="B7" t="str">
        <f>'附件3 规划内'!B97</f>
        <v>2021年兰考县三义寨乡白云山村大棚修复项目</v>
      </c>
      <c r="C7" t="str">
        <f>'附件3 规划内'!C97</f>
        <v>乡村振兴</v>
      </c>
      <c r="D7" t="str">
        <f>'附件3 规划内'!D97</f>
        <v>修复温室大棚27座</v>
      </c>
      <c r="E7">
        <f>'附件3 规划内'!E97</f>
        <v>166.08</v>
      </c>
      <c r="F7">
        <f>'附件3 规划内'!F97</f>
        <v>166.08</v>
      </c>
      <c r="G7">
        <f>'附件3 规划内'!G97</f>
        <v>0</v>
      </c>
      <c r="H7">
        <f>'附件3 规划内'!H97</f>
        <v>0</v>
      </c>
      <c r="I7" t="str">
        <f>'附件3 规划内'!I97</f>
        <v>完工</v>
      </c>
      <c r="J7">
        <f>'附件3 规划内'!J97</f>
        <v>166.08</v>
      </c>
      <c r="K7" t="str">
        <f>'附件3 规划内'!K97</f>
        <v/>
      </c>
      <c r="L7">
        <f>'附件3 规划内'!L97</f>
        <v>0</v>
      </c>
      <c r="M7" s="26">
        <f>'附件3 规划内'!M97</f>
        <v>44440</v>
      </c>
      <c r="N7" s="26">
        <f>'附件3 规划内'!N97</f>
        <v>44530</v>
      </c>
      <c r="O7" t="str">
        <f>'附件3 规划内'!O97</f>
        <v>市乡村振兴局</v>
      </c>
      <c r="P7" t="str">
        <f>'附件3 规划内'!P97</f>
        <v>兰考县</v>
      </c>
      <c r="Q7">
        <f>'附件3 规划内'!Q97</f>
        <v>0</v>
      </c>
      <c r="R7">
        <f>'附件3 规划内'!R97</f>
        <v>0</v>
      </c>
      <c r="T7">
        <f>'附件4 规划外'!A80</f>
        <v>90</v>
      </c>
      <c r="U7" t="str">
        <f>'附件4 规划外'!B80</f>
        <v>2019年通许县竖岗镇张营村温室大棚项目</v>
      </c>
      <c r="V7" t="str">
        <f>'附件4 规划外'!C80</f>
        <v>乡村振兴</v>
      </c>
      <c r="W7" t="str">
        <f>'附件4 规划外'!D80</f>
        <v>1个棚门、两个钢管维修</v>
      </c>
      <c r="X7">
        <f>'附件4 规划外'!E80</f>
        <v>0.08</v>
      </c>
      <c r="Y7">
        <f>'附件4 规划外'!F80</f>
        <v>0.08</v>
      </c>
      <c r="Z7">
        <f>'附件4 规划外'!G80</f>
        <v>0</v>
      </c>
      <c r="AA7">
        <f>'附件4 规划外'!H80</f>
        <v>0</v>
      </c>
      <c r="AB7" t="str">
        <f>'附件4 规划外'!I80</f>
        <v>完工</v>
      </c>
      <c r="AC7">
        <f>'附件4 规划外'!J80</f>
        <v>0.08</v>
      </c>
      <c r="AD7" t="str">
        <f>'附件4 规划外'!K80</f>
        <v/>
      </c>
      <c r="AE7" t="str">
        <f>'附件4 规划外'!L80</f>
        <v>已完工</v>
      </c>
      <c r="AF7" s="26">
        <f>'附件4 规划外'!M80</f>
        <v>44440</v>
      </c>
      <c r="AG7" s="26">
        <f>'附件4 规划外'!N80</f>
        <v>44531</v>
      </c>
      <c r="AH7" t="str">
        <f>'附件4 规划外'!O80</f>
        <v>市乡村振兴局</v>
      </c>
      <c r="AI7" t="str">
        <f>'附件4 规划外'!P80</f>
        <v>通许县</v>
      </c>
      <c r="AJ7">
        <f>'附件4 规划外'!Q80</f>
        <v>0</v>
      </c>
      <c r="AK7">
        <f>'附件4 规划外'!R80</f>
        <v>0</v>
      </c>
    </row>
    <row r="8" spans="1:37">
      <c r="A8">
        <f>'附件3 规划内'!A98</f>
        <v>97</v>
      </c>
      <c r="B8" t="str">
        <f>'附件3 规划内'!B98</f>
        <v>2018年孙营乡南李佐村产业发展奖补大棚</v>
      </c>
      <c r="C8" t="str">
        <f>'附件3 规划内'!C98</f>
        <v>乡村振兴</v>
      </c>
      <c r="D8" t="str">
        <f>'附件3 规划内'!D98</f>
        <v>更换4座大棚棚膜、6座大棚棚体塌陷修复</v>
      </c>
      <c r="E8">
        <f>'附件3 规划内'!E98</f>
        <v>1.25</v>
      </c>
      <c r="F8">
        <f>'附件3 规划内'!F98</f>
        <v>1.25</v>
      </c>
      <c r="G8">
        <f>'附件3 规划内'!G98</f>
        <v>0</v>
      </c>
      <c r="H8">
        <f>'附件3 规划内'!H98</f>
        <v>0</v>
      </c>
      <c r="I8" t="str">
        <f>'附件3 规划内'!I98</f>
        <v>完工</v>
      </c>
      <c r="J8">
        <f>'附件3 规划内'!J98</f>
        <v>1.25</v>
      </c>
      <c r="K8" t="str">
        <f>'附件3 规划内'!K98</f>
        <v/>
      </c>
      <c r="L8">
        <f>'附件3 规划内'!L98</f>
        <v>0</v>
      </c>
      <c r="M8" s="26">
        <f>'附件3 规划内'!M98</f>
        <v>44409</v>
      </c>
      <c r="N8" s="26">
        <f>'附件3 规划内'!N98</f>
        <v>44500</v>
      </c>
      <c r="O8" t="str">
        <f>'附件3 规划内'!O98</f>
        <v>市乡村振兴局</v>
      </c>
      <c r="P8" t="str">
        <f>'附件3 规划内'!P98</f>
        <v>通许县</v>
      </c>
      <c r="Q8">
        <f>'附件3 规划内'!Q98</f>
        <v>0</v>
      </c>
      <c r="R8">
        <f>'附件3 规划内'!R98</f>
        <v>0</v>
      </c>
      <c r="T8">
        <f>'附件4 规划外'!A81</f>
        <v>91</v>
      </c>
      <c r="U8" t="str">
        <f>'附件4 规划外'!B81</f>
        <v>2019年通许县竖岗镇前刘庄村鸭棚项目</v>
      </c>
      <c r="V8" t="str">
        <f>'附件4 规划外'!C81</f>
        <v>乡村振兴</v>
      </c>
      <c r="W8" t="str">
        <f>'附件4 规划外'!D81</f>
        <v>鸭棚顶2个破洞、水池塌一个进行维修、鸭棚井塌陷进行修复</v>
      </c>
      <c r="X8">
        <f>'附件4 规划外'!E81</f>
        <v>1.2</v>
      </c>
      <c r="Y8">
        <f>'附件4 规划外'!F81</f>
        <v>1.2</v>
      </c>
      <c r="Z8">
        <f>'附件4 规划外'!G81</f>
        <v>0</v>
      </c>
      <c r="AA8">
        <f>'附件4 规划外'!H81</f>
        <v>0</v>
      </c>
      <c r="AB8" t="str">
        <f>'附件4 规划外'!I81</f>
        <v>完工</v>
      </c>
      <c r="AC8">
        <f>'附件4 规划外'!J81</f>
        <v>1.2</v>
      </c>
      <c r="AD8" t="str">
        <f>'附件4 规划外'!K81</f>
        <v/>
      </c>
      <c r="AE8" t="str">
        <f>'附件4 规划外'!L81</f>
        <v>已完工</v>
      </c>
      <c r="AF8" s="26">
        <f>'附件4 规划外'!M81</f>
        <v>44440</v>
      </c>
      <c r="AG8" s="26">
        <f>'附件4 规划外'!N81</f>
        <v>44531</v>
      </c>
      <c r="AH8" t="str">
        <f>'附件4 规划外'!O81</f>
        <v>市乡村振兴局</v>
      </c>
      <c r="AI8" t="str">
        <f>'附件4 规划外'!P81</f>
        <v>通许县</v>
      </c>
      <c r="AJ8">
        <f>'附件4 规划外'!Q81</f>
        <v>0</v>
      </c>
      <c r="AK8">
        <f>'附件4 规划外'!R81</f>
        <v>0</v>
      </c>
    </row>
    <row r="9" spans="1:37">
      <c r="A9">
        <f>'附件3 规划内'!A99</f>
        <v>98</v>
      </c>
      <c r="B9" t="str">
        <f>'附件3 规划内'!B99</f>
        <v>2019年通许县孙营乡北孙营、南孙营村设施农业大棚奖补项目</v>
      </c>
      <c r="C9" t="str">
        <f>'附件3 规划内'!C99</f>
        <v>乡村振兴</v>
      </c>
      <c r="D9" t="str">
        <f>'附件3 规划内'!D99</f>
        <v>34座大棚棚膜更换，30座大棚更换部分钢架</v>
      </c>
      <c r="E9">
        <f>'附件3 规划内'!E99</f>
        <v>0.93</v>
      </c>
      <c r="F9">
        <f>'附件3 规划内'!F99</f>
        <v>0.93</v>
      </c>
      <c r="G9">
        <f>'附件3 规划内'!G99</f>
        <v>0</v>
      </c>
      <c r="H9">
        <f>'附件3 规划内'!H99</f>
        <v>0</v>
      </c>
      <c r="I9" t="str">
        <f>'附件3 规划内'!I99</f>
        <v>完工</v>
      </c>
      <c r="J9">
        <f>'附件3 规划内'!J99</f>
        <v>0.93</v>
      </c>
      <c r="K9" t="str">
        <f>'附件3 规划内'!K99</f>
        <v/>
      </c>
      <c r="L9">
        <f>'附件3 规划内'!L99</f>
        <v>0</v>
      </c>
      <c r="M9" s="26">
        <f>'附件3 规划内'!M99</f>
        <v>44409</v>
      </c>
      <c r="N9" s="26">
        <f>'附件3 规划内'!N99</f>
        <v>44500</v>
      </c>
      <c r="O9" t="str">
        <f>'附件3 规划内'!O99</f>
        <v>市乡村振兴局</v>
      </c>
      <c r="P9" t="str">
        <f>'附件3 规划内'!P99</f>
        <v>通许县</v>
      </c>
      <c r="Q9">
        <f>'附件3 规划内'!Q99</f>
        <v>0</v>
      </c>
      <c r="R9">
        <f>'附件3 规划内'!R99</f>
        <v>0</v>
      </c>
      <c r="T9">
        <f>'附件4 规划外'!A82</f>
        <v>92</v>
      </c>
      <c r="U9" t="str">
        <f>'附件4 规划外'!B82</f>
        <v>2020年通许县竖岗镇张营村大棚建设项目</v>
      </c>
      <c r="V9" t="str">
        <f>'附件4 规划外'!C82</f>
        <v>乡村振兴</v>
      </c>
      <c r="W9" t="str">
        <f>'附件4 规划外'!D82</f>
        <v>8个棚门修复</v>
      </c>
      <c r="X9">
        <f>'附件4 规划外'!E82</f>
        <v>0.15</v>
      </c>
      <c r="Y9">
        <f>'附件4 规划外'!F82</f>
        <v>0.15</v>
      </c>
      <c r="Z9">
        <f>'附件4 规划外'!G82</f>
        <v>0</v>
      </c>
      <c r="AA9">
        <f>'附件4 规划外'!H82</f>
        <v>0</v>
      </c>
      <c r="AB9" t="str">
        <f>'附件4 规划外'!I82</f>
        <v>完工</v>
      </c>
      <c r="AC9">
        <f>'附件4 规划外'!J82</f>
        <v>0.15</v>
      </c>
      <c r="AD9" t="str">
        <f>'附件4 规划外'!K82</f>
        <v/>
      </c>
      <c r="AE9" t="str">
        <f>'附件4 规划外'!L82</f>
        <v>已完工</v>
      </c>
      <c r="AF9" s="26">
        <f>'附件4 规划外'!M82</f>
        <v>44440</v>
      </c>
      <c r="AG9" s="26">
        <f>'附件4 规划外'!N82</f>
        <v>44531</v>
      </c>
      <c r="AH9" t="str">
        <f>'附件4 规划外'!O82</f>
        <v>市乡村振兴局</v>
      </c>
      <c r="AI9" t="str">
        <f>'附件4 规划外'!P82</f>
        <v>通许县</v>
      </c>
      <c r="AJ9">
        <f>'附件4 规划外'!Q82</f>
        <v>0</v>
      </c>
      <c r="AK9">
        <f>'附件4 规划外'!R82</f>
        <v>0</v>
      </c>
    </row>
    <row r="10" spans="1:37">
      <c r="A10">
        <f>'附件3 规划内'!A100</f>
        <v>99</v>
      </c>
      <c r="B10" t="str">
        <f>'附件3 规划内'!B100</f>
        <v>2019年通许县竖岗镇百里池村设施农业大棚奖补项目</v>
      </c>
      <c r="C10" t="str">
        <f>'附件3 规划内'!C100</f>
        <v>乡村振兴</v>
      </c>
      <c r="D10" t="str">
        <f>'附件3 规划内'!D100</f>
        <v>8座大棚更换棚膜、1座大棚棚体修复</v>
      </c>
      <c r="E10">
        <f>'附件3 规划内'!E100</f>
        <v>5.08</v>
      </c>
      <c r="F10">
        <f>'附件3 规划内'!F100</f>
        <v>5.08</v>
      </c>
      <c r="G10">
        <f>'附件3 规划内'!G100</f>
        <v>0</v>
      </c>
      <c r="H10">
        <f>'附件3 规划内'!H100</f>
        <v>0</v>
      </c>
      <c r="I10" t="str">
        <f>'附件3 规划内'!I100</f>
        <v>完工</v>
      </c>
      <c r="J10">
        <f>'附件3 规划内'!J100</f>
        <v>5.08</v>
      </c>
      <c r="K10" t="str">
        <f>'附件3 规划内'!K100</f>
        <v/>
      </c>
      <c r="L10">
        <f>'附件3 规划内'!L100</f>
        <v>0</v>
      </c>
      <c r="M10" s="26">
        <f>'附件3 规划内'!M100</f>
        <v>44409</v>
      </c>
      <c r="N10" s="26">
        <f>'附件3 规划内'!N100</f>
        <v>44500</v>
      </c>
      <c r="O10" t="str">
        <f>'附件3 规划内'!O100</f>
        <v>市乡村振兴局</v>
      </c>
      <c r="P10" t="str">
        <f>'附件3 规划内'!P100</f>
        <v>通许县</v>
      </c>
      <c r="Q10">
        <f>'附件3 规划内'!Q100</f>
        <v>0</v>
      </c>
      <c r="R10">
        <f>'附件3 规划内'!R100</f>
        <v>0</v>
      </c>
      <c r="T10">
        <f>'附件4 规划外'!A83</f>
        <v>93</v>
      </c>
      <c r="U10" t="str">
        <f>'附件4 规划外'!B83</f>
        <v>2018年通许县厉庄乡前柏岗设施农业大棚奖补项目</v>
      </c>
      <c r="V10" t="str">
        <f>'附件4 规划外'!C83</f>
        <v>乡村振兴</v>
      </c>
      <c r="W10" t="str">
        <f>'附件4 规划外'!D83</f>
        <v>5座大棚棚膜受损</v>
      </c>
      <c r="X10">
        <f>'附件4 规划外'!E83</f>
        <v>0.7</v>
      </c>
      <c r="Y10">
        <f>'附件4 规划外'!F83</f>
        <v>0.7</v>
      </c>
      <c r="Z10">
        <f>'附件4 规划外'!G83</f>
        <v>0</v>
      </c>
      <c r="AA10">
        <f>'附件4 规划外'!H83</f>
        <v>0</v>
      </c>
      <c r="AB10" t="str">
        <f>'附件4 规划外'!I83</f>
        <v>完工</v>
      </c>
      <c r="AC10">
        <f>'附件4 规划外'!J83</f>
        <v>0.7</v>
      </c>
      <c r="AD10" t="str">
        <f>'附件4 规划外'!K83</f>
        <v/>
      </c>
      <c r="AE10" t="str">
        <f>'附件4 规划外'!L83</f>
        <v>已完工</v>
      </c>
      <c r="AF10" s="26">
        <f>'附件4 规划外'!M83</f>
        <v>44440</v>
      </c>
      <c r="AG10" s="26">
        <f>'附件4 规划外'!N83</f>
        <v>44531</v>
      </c>
      <c r="AH10" t="str">
        <f>'附件4 规划外'!O83</f>
        <v>市乡村振兴局</v>
      </c>
      <c r="AI10" t="str">
        <f>'附件4 规划外'!P83</f>
        <v>通许县</v>
      </c>
      <c r="AJ10">
        <f>'附件4 规划外'!Q83</f>
        <v>0</v>
      </c>
      <c r="AK10">
        <f>'附件4 规划外'!R83</f>
        <v>0</v>
      </c>
    </row>
    <row r="11" spans="1:37">
      <c r="A11">
        <f>'附件3 规划内'!A101</f>
        <v>100</v>
      </c>
      <c r="B11" t="str">
        <f>'附件3 规划内'!B101</f>
        <v>2018年竖岗镇前刘庄村扶贫产业大棚奖补项目</v>
      </c>
      <c r="C11" t="str">
        <f>'附件3 规划内'!C101</f>
        <v>乡村振兴</v>
      </c>
      <c r="D11" t="str">
        <f>'附件3 规划内'!D101</f>
        <v>大棚4座棚膜修复</v>
      </c>
      <c r="E11">
        <f>'附件3 规划内'!E101</f>
        <v>5</v>
      </c>
      <c r="F11">
        <f>'附件3 规划内'!F101</f>
        <v>5</v>
      </c>
      <c r="G11">
        <f>'附件3 规划内'!G101</f>
        <v>0</v>
      </c>
      <c r="H11">
        <f>'附件3 规划内'!H101</f>
        <v>0</v>
      </c>
      <c r="I11" t="str">
        <f>'附件3 规划内'!I101</f>
        <v>完工</v>
      </c>
      <c r="J11">
        <f>'附件3 规划内'!J101</f>
        <v>5</v>
      </c>
      <c r="K11" t="str">
        <f>'附件3 规划内'!K101</f>
        <v/>
      </c>
      <c r="L11">
        <f>'附件3 规划内'!L101</f>
        <v>0</v>
      </c>
      <c r="M11" s="26">
        <f>'附件3 规划内'!M101</f>
        <v>44409</v>
      </c>
      <c r="N11" s="26">
        <f>'附件3 规划内'!N101</f>
        <v>44500</v>
      </c>
      <c r="O11" t="str">
        <f>'附件3 规划内'!O101</f>
        <v>市乡村振兴局</v>
      </c>
      <c r="P11" t="str">
        <f>'附件3 规划内'!P101</f>
        <v>通许县</v>
      </c>
      <c r="Q11">
        <f>'附件3 规划内'!Q101</f>
        <v>0</v>
      </c>
      <c r="R11">
        <f>'附件3 规划内'!R101</f>
        <v>0</v>
      </c>
      <c r="T11">
        <f>'附件4 规划外'!A84</f>
        <v>94</v>
      </c>
      <c r="U11" t="str">
        <f>'附件4 规划外'!B84</f>
        <v>2018年练城乡厉大楼村产业园项目</v>
      </c>
      <c r="V11" t="str">
        <f>'附件4 规划外'!C84</f>
        <v>乡村振兴</v>
      </c>
      <c r="W11" t="str">
        <f>'附件4 规划外'!D84</f>
        <v>厉大楼村8座棚内积水墙体受损进行修复</v>
      </c>
      <c r="X11">
        <f>'附件4 规划外'!E84</f>
        <v>0.8</v>
      </c>
      <c r="Y11">
        <f>'附件4 规划外'!F84</f>
        <v>0.8</v>
      </c>
      <c r="Z11">
        <f>'附件4 规划外'!G84</f>
        <v>0</v>
      </c>
      <c r="AA11">
        <f>'附件4 规划外'!H84</f>
        <v>0</v>
      </c>
      <c r="AB11" t="str">
        <f>'附件4 规划外'!I84</f>
        <v>完工</v>
      </c>
      <c r="AC11">
        <f>'附件4 规划外'!J84</f>
        <v>0.8</v>
      </c>
      <c r="AD11" t="str">
        <f>'附件4 规划外'!K84</f>
        <v/>
      </c>
      <c r="AE11" t="str">
        <f>'附件4 规划外'!L84</f>
        <v>已完工</v>
      </c>
      <c r="AF11" s="26">
        <f>'附件4 规划外'!M84</f>
        <v>44440</v>
      </c>
      <c r="AG11" s="26">
        <f>'附件4 规划外'!N84</f>
        <v>44531</v>
      </c>
      <c r="AH11" t="str">
        <f>'附件4 规划外'!O84</f>
        <v>市乡村振兴局</v>
      </c>
      <c r="AI11" t="str">
        <f>'附件4 规划外'!P84</f>
        <v>通许县</v>
      </c>
      <c r="AJ11">
        <f>'附件4 规划外'!Q84</f>
        <v>0</v>
      </c>
      <c r="AK11">
        <f>'附件4 规划外'!R84</f>
        <v>0</v>
      </c>
    </row>
    <row r="12" spans="1:37">
      <c r="A12">
        <f>'附件3 规划内'!A102</f>
        <v>101</v>
      </c>
      <c r="B12" t="str">
        <f>'附件3 规划内'!B102</f>
        <v>2018年玉皇庙镇深度贫困村（西陈集）建设项目</v>
      </c>
      <c r="C12" t="str">
        <f>'附件3 规划内'!C102</f>
        <v>乡村振兴</v>
      </c>
      <c r="D12" t="str">
        <f>'附件3 规划内'!D102</f>
        <v>完成30个大棚骨架、棚膜、墙体的修复</v>
      </c>
      <c r="E12">
        <f>'附件3 规划内'!E102</f>
        <v>5.1</v>
      </c>
      <c r="F12">
        <f>'附件3 规划内'!F102</f>
        <v>5.1</v>
      </c>
      <c r="G12">
        <f>'附件3 规划内'!G102</f>
        <v>0</v>
      </c>
      <c r="H12">
        <f>'附件3 规划内'!H102</f>
        <v>0</v>
      </c>
      <c r="I12" t="str">
        <f>'附件3 规划内'!I102</f>
        <v>完工</v>
      </c>
      <c r="J12">
        <f>'附件3 规划内'!J102</f>
        <v>5.1</v>
      </c>
      <c r="K12" t="str">
        <f>'附件3 规划内'!K102</f>
        <v/>
      </c>
      <c r="L12">
        <f>'附件3 规划内'!L102</f>
        <v>0</v>
      </c>
      <c r="M12" s="26">
        <f>'附件3 规划内'!M102</f>
        <v>44409</v>
      </c>
      <c r="N12" s="26">
        <f>'附件3 规划内'!N102</f>
        <v>44500</v>
      </c>
      <c r="O12" t="str">
        <f>'附件3 规划内'!O102</f>
        <v>市乡村振兴局</v>
      </c>
      <c r="P12" t="str">
        <f>'附件3 规划内'!P102</f>
        <v>通许县</v>
      </c>
      <c r="Q12">
        <f>'附件3 规划内'!Q102</f>
        <v>0</v>
      </c>
      <c r="R12">
        <f>'附件3 规划内'!R102</f>
        <v>0</v>
      </c>
      <c r="T12">
        <f>'附件4 规划外'!A85</f>
        <v>95</v>
      </c>
      <c r="U12" t="str">
        <f>'附件4 规划外'!B85</f>
        <v>2020年通许县长智镇东芦氏村红薯育苗基地大棚项目</v>
      </c>
      <c r="V12" t="str">
        <f>'附件4 规划外'!C85</f>
        <v>乡村振兴</v>
      </c>
      <c r="W12" t="str">
        <f>'附件4 规划外'!D85</f>
        <v>1座大棚棚膜修复</v>
      </c>
      <c r="X12">
        <f>'附件4 规划外'!E85</f>
        <v>0.27</v>
      </c>
      <c r="Y12">
        <f>'附件4 规划外'!F85</f>
        <v>0.27</v>
      </c>
      <c r="Z12">
        <f>'附件4 规划外'!G85</f>
        <v>0</v>
      </c>
      <c r="AA12">
        <f>'附件4 规划外'!H85</f>
        <v>0</v>
      </c>
      <c r="AB12" t="str">
        <f>'附件4 规划外'!I85</f>
        <v>完工</v>
      </c>
      <c r="AC12">
        <f>'附件4 规划外'!J85</f>
        <v>0.27</v>
      </c>
      <c r="AD12" t="str">
        <f>'附件4 规划外'!K85</f>
        <v/>
      </c>
      <c r="AE12" t="str">
        <f>'附件4 规划外'!L85</f>
        <v>已完工</v>
      </c>
      <c r="AF12" s="26">
        <f>'附件4 规划外'!M85</f>
        <v>44440</v>
      </c>
      <c r="AG12" s="26">
        <f>'附件4 规划外'!N85</f>
        <v>44531</v>
      </c>
      <c r="AH12" t="str">
        <f>'附件4 规划外'!O85</f>
        <v>市乡村振兴局</v>
      </c>
      <c r="AI12" t="str">
        <f>'附件4 规划外'!P85</f>
        <v>通许县</v>
      </c>
      <c r="AJ12">
        <f>'附件4 规划外'!Q85</f>
        <v>0</v>
      </c>
      <c r="AK12">
        <f>'附件4 规划外'!R85</f>
        <v>0</v>
      </c>
    </row>
    <row r="13" spans="1:37">
      <c r="A13">
        <f>'附件3 规划内'!A103</f>
        <v>102</v>
      </c>
      <c r="B13" t="str">
        <f>'附件3 规划内'!B103</f>
        <v>2019年玉皇庙镇西陈集村产业大棚奖补项目</v>
      </c>
      <c r="C13" t="str">
        <f>'附件3 规划内'!C103</f>
        <v>乡村振兴</v>
      </c>
      <c r="D13" t="str">
        <f>'附件3 规划内'!D103</f>
        <v>24座大棚，重新安装棚门39个，棚膜换新15个</v>
      </c>
      <c r="E13">
        <f>'附件3 规划内'!E103</f>
        <v>1.2</v>
      </c>
      <c r="F13">
        <f>'附件3 规划内'!F103</f>
        <v>1.2</v>
      </c>
      <c r="G13">
        <f>'附件3 规划内'!G103</f>
        <v>0</v>
      </c>
      <c r="H13">
        <f>'附件3 规划内'!H103</f>
        <v>0</v>
      </c>
      <c r="I13" t="str">
        <f>'附件3 规划内'!I103</f>
        <v>完工</v>
      </c>
      <c r="J13">
        <f>'附件3 规划内'!J103</f>
        <v>1.2</v>
      </c>
      <c r="K13" t="str">
        <f>'附件3 规划内'!K103</f>
        <v/>
      </c>
      <c r="L13">
        <f>'附件3 规划内'!L103</f>
        <v>0</v>
      </c>
      <c r="M13" s="26">
        <f>'附件3 规划内'!M103</f>
        <v>44409</v>
      </c>
      <c r="N13" s="26">
        <f>'附件3 规划内'!N103</f>
        <v>44500</v>
      </c>
      <c r="O13" t="str">
        <f>'附件3 规划内'!O103</f>
        <v>市乡村振兴局</v>
      </c>
      <c r="P13" t="str">
        <f>'附件3 规划内'!P103</f>
        <v>通许县</v>
      </c>
      <c r="Q13">
        <f>'附件3 规划内'!Q103</f>
        <v>0</v>
      </c>
      <c r="R13">
        <f>'附件3 规划内'!R103</f>
        <v>0</v>
      </c>
      <c r="T13">
        <f>'附件4 规划外'!A86</f>
        <v>96</v>
      </c>
      <c r="U13" t="str">
        <f>'附件4 规划外'!B86</f>
        <v>2018年长智镇三所楼村蔬菜大棚项目</v>
      </c>
      <c r="V13" t="str">
        <f>'附件4 规划外'!C86</f>
        <v>乡村振兴</v>
      </c>
      <c r="W13" t="str">
        <f>'附件4 规划外'!D86</f>
        <v>24座大棚薄膜轻微受损，修复</v>
      </c>
      <c r="X13">
        <f>'附件4 规划外'!E86</f>
        <v>0.72</v>
      </c>
      <c r="Y13">
        <f>'附件4 规划外'!F86</f>
        <v>0.72</v>
      </c>
      <c r="Z13">
        <f>'附件4 规划外'!G86</f>
        <v>0</v>
      </c>
      <c r="AA13">
        <f>'附件4 规划外'!H86</f>
        <v>0</v>
      </c>
      <c r="AB13" t="str">
        <f>'附件4 规划外'!I86</f>
        <v>完工</v>
      </c>
      <c r="AC13">
        <f>'附件4 规划外'!J86</f>
        <v>0.72</v>
      </c>
      <c r="AD13" t="str">
        <f>'附件4 规划外'!K86</f>
        <v/>
      </c>
      <c r="AE13" t="str">
        <f>'附件4 规划外'!L86</f>
        <v>已完工</v>
      </c>
      <c r="AF13" s="26">
        <f>'附件4 规划外'!M86</f>
        <v>44440</v>
      </c>
      <c r="AG13" s="26">
        <f>'附件4 规划外'!N86</f>
        <v>44531</v>
      </c>
      <c r="AH13" t="str">
        <f>'附件4 规划外'!O86</f>
        <v>市乡村振兴局</v>
      </c>
      <c r="AI13" t="str">
        <f>'附件4 规划外'!P86</f>
        <v>通许县</v>
      </c>
      <c r="AJ13">
        <f>'附件4 规划外'!Q86</f>
        <v>0</v>
      </c>
      <c r="AK13">
        <f>'附件4 规划外'!R86</f>
        <v>0</v>
      </c>
    </row>
    <row r="14" spans="1:37">
      <c r="A14">
        <f>'附件3 规划内'!A104</f>
        <v>103</v>
      </c>
      <c r="B14" t="str">
        <f>'附件3 规划内'!B104</f>
        <v>2020年通许县冯庄乡陈庄村千亩农业现代产业园项目</v>
      </c>
      <c r="C14" t="str">
        <f>'附件3 规划内'!C104</f>
        <v>乡村振兴</v>
      </c>
      <c r="D14" t="str">
        <f>'附件3 规划内'!D104</f>
        <v>25座大棚，重新安装棚门36个，棚膜换新7个</v>
      </c>
      <c r="E14">
        <f>'附件3 规划内'!E104</f>
        <v>24.58</v>
      </c>
      <c r="F14">
        <f>'附件3 规划内'!F104</f>
        <v>24.58</v>
      </c>
      <c r="G14">
        <f>'附件3 规划内'!G104</f>
        <v>0</v>
      </c>
      <c r="H14">
        <f>'附件3 规划内'!H104</f>
        <v>0</v>
      </c>
      <c r="I14" t="str">
        <f>'附件3 规划内'!I104</f>
        <v>完工</v>
      </c>
      <c r="J14">
        <f>'附件3 规划内'!J104</f>
        <v>24.58</v>
      </c>
      <c r="K14" t="str">
        <f>'附件3 规划内'!K104</f>
        <v/>
      </c>
      <c r="L14">
        <f>'附件3 规划内'!L104</f>
        <v>0</v>
      </c>
      <c r="M14" s="26">
        <f>'附件3 规划内'!M104</f>
        <v>44409</v>
      </c>
      <c r="N14" s="26">
        <f>'附件3 规划内'!N104</f>
        <v>44500</v>
      </c>
      <c r="O14" t="str">
        <f>'附件3 规划内'!O104</f>
        <v>市乡村振兴局</v>
      </c>
      <c r="P14" t="str">
        <f>'附件3 规划内'!P104</f>
        <v>通许县</v>
      </c>
      <c r="Q14">
        <f>'附件3 规划内'!Q104</f>
        <v>0</v>
      </c>
      <c r="R14">
        <f>'附件3 规划内'!R104</f>
        <v>0</v>
      </c>
      <c r="T14">
        <f>'附件4 规划外'!A87</f>
        <v>97</v>
      </c>
      <c r="U14" t="str">
        <f>'附件4 规划外'!B87</f>
        <v>2019年通许县竖岗镇百里池村禾丰肉鸭养殖项目</v>
      </c>
      <c r="V14" t="str">
        <f>'附件4 规划外'!C87</f>
        <v>乡村振兴</v>
      </c>
      <c r="W14" t="str">
        <f>'附件4 规划外'!D87</f>
        <v>机井塌陷、出水浑浊、鸭子无法饮用、线路损坏，进行修复</v>
      </c>
      <c r="X14">
        <f>'附件4 规划外'!E87</f>
        <v>0.8</v>
      </c>
      <c r="Y14">
        <f>'附件4 规划外'!F87</f>
        <v>0.8</v>
      </c>
      <c r="Z14">
        <f>'附件4 规划外'!G87</f>
        <v>0</v>
      </c>
      <c r="AA14">
        <f>'附件4 规划外'!H87</f>
        <v>0</v>
      </c>
      <c r="AB14" t="str">
        <f>'附件4 规划外'!I87</f>
        <v>完工</v>
      </c>
      <c r="AC14">
        <f>'附件4 规划外'!J87</f>
        <v>0.8</v>
      </c>
      <c r="AD14" t="str">
        <f>'附件4 规划外'!K87</f>
        <v/>
      </c>
      <c r="AE14" t="str">
        <f>'附件4 规划外'!L87</f>
        <v>已完工</v>
      </c>
      <c r="AF14" s="26">
        <f>'附件4 规划外'!M87</f>
        <v>44440</v>
      </c>
      <c r="AG14" s="26">
        <f>'附件4 规划外'!N87</f>
        <v>44531</v>
      </c>
      <c r="AH14" t="str">
        <f>'附件4 规划外'!O87</f>
        <v>市乡村振兴局</v>
      </c>
      <c r="AI14" t="str">
        <f>'附件4 规划外'!P87</f>
        <v>通许县</v>
      </c>
      <c r="AJ14">
        <f>'附件4 规划外'!Q87</f>
        <v>0</v>
      </c>
      <c r="AK14">
        <f>'附件4 规划外'!R87</f>
        <v>0</v>
      </c>
    </row>
    <row r="15" spans="1:37">
      <c r="A15">
        <f>'附件3 规划内'!A105</f>
        <v>104</v>
      </c>
      <c r="B15" t="str">
        <f>'附件3 规划内'!B105</f>
        <v>2020年冯庄乡东双沟村蔬菜大棚建设项目</v>
      </c>
      <c r="C15" t="str">
        <f>'附件3 规划内'!C105</f>
        <v>乡村振兴</v>
      </c>
      <c r="D15" t="str">
        <f>'附件3 规划内'!D105</f>
        <v>三赵村修复大棚9座，更换棚膜</v>
      </c>
      <c r="E15">
        <f>'附件3 规划内'!E105</f>
        <v>3.17</v>
      </c>
      <c r="F15">
        <f>'附件3 规划内'!F105</f>
        <v>3.17</v>
      </c>
      <c r="G15">
        <f>'附件3 规划内'!G105</f>
        <v>0</v>
      </c>
      <c r="H15">
        <f>'附件3 规划内'!H105</f>
        <v>0</v>
      </c>
      <c r="I15" t="str">
        <f>'附件3 规划内'!I105</f>
        <v>完工</v>
      </c>
      <c r="J15">
        <f>'附件3 规划内'!J105</f>
        <v>3.17</v>
      </c>
      <c r="K15" t="str">
        <f>'附件3 规划内'!K105</f>
        <v/>
      </c>
      <c r="L15">
        <f>'附件3 规划内'!L105</f>
        <v>0</v>
      </c>
      <c r="M15" s="26">
        <f>'附件3 规划内'!M105</f>
        <v>44409</v>
      </c>
      <c r="N15" s="26">
        <f>'附件3 规划内'!N105</f>
        <v>44500</v>
      </c>
      <c r="O15" t="str">
        <f>'附件3 规划内'!O105</f>
        <v>市乡村振兴局</v>
      </c>
      <c r="P15" t="str">
        <f>'附件3 规划内'!P105</f>
        <v>通许县</v>
      </c>
      <c r="Q15">
        <f>'附件3 规划内'!Q105</f>
        <v>0</v>
      </c>
      <c r="R15">
        <f>'附件3 规划内'!R105</f>
        <v>0</v>
      </c>
      <c r="T15">
        <f>'附件4 规划外'!A88</f>
        <v>98</v>
      </c>
      <c r="U15" t="str">
        <f>'附件4 规划外'!B88</f>
        <v>2019年通许县长智镇东芦氏村设施农业大棚奖补项目</v>
      </c>
      <c r="V15" t="str">
        <f>'附件4 规划外'!C88</f>
        <v>乡村振兴</v>
      </c>
      <c r="W15" t="str">
        <f>'附件4 规划外'!D88</f>
        <v>21座大棚受淹，1座更换薄膜</v>
      </c>
      <c r="X15">
        <f>'附件4 规划外'!E88</f>
        <v>0.14</v>
      </c>
      <c r="Y15">
        <f>'附件4 规划外'!F88</f>
        <v>0.14</v>
      </c>
      <c r="Z15">
        <f>'附件4 规划外'!G88</f>
        <v>0</v>
      </c>
      <c r="AA15">
        <f>'附件4 规划外'!H88</f>
        <v>0</v>
      </c>
      <c r="AB15" t="str">
        <f>'附件4 规划外'!I88</f>
        <v>完工</v>
      </c>
      <c r="AC15">
        <f>'附件4 规划外'!J88</f>
        <v>0.14</v>
      </c>
      <c r="AD15" t="str">
        <f>'附件4 规划外'!K88</f>
        <v/>
      </c>
      <c r="AE15" t="str">
        <f>'附件4 规划外'!L88</f>
        <v>已完工</v>
      </c>
      <c r="AF15" s="26">
        <f>'附件4 规划外'!M88</f>
        <v>44440</v>
      </c>
      <c r="AG15" s="26">
        <f>'附件4 规划外'!N88</f>
        <v>44531</v>
      </c>
      <c r="AH15" t="str">
        <f>'附件4 规划外'!O88</f>
        <v>市乡村振兴局</v>
      </c>
      <c r="AI15" t="str">
        <f>'附件4 规划外'!P88</f>
        <v>通许县</v>
      </c>
      <c r="AJ15">
        <f>'附件4 规划外'!Q88</f>
        <v>0</v>
      </c>
      <c r="AK15">
        <f>'附件4 规划外'!R88</f>
        <v>0</v>
      </c>
    </row>
    <row r="16" spans="1:37">
      <c r="A16">
        <f>'附件3 规划内'!A106</f>
        <v>105</v>
      </c>
      <c r="B16" t="str">
        <f>'附件3 规划内'!B106</f>
        <v>2020年冯庄乡小城村蔬菜大棚建设项目</v>
      </c>
      <c r="C16" t="str">
        <f>'附件3 规划内'!C106</f>
        <v>乡村振兴</v>
      </c>
      <c r="D16" t="str">
        <f>'附件3 规划内'!D106</f>
        <v>任寨村修复大棚22座，更换棚膜,4座框架修复</v>
      </c>
      <c r="E16">
        <f>'附件3 规划内'!E106</f>
        <v>1.73</v>
      </c>
      <c r="F16">
        <f>'附件3 规划内'!F106</f>
        <v>1.73</v>
      </c>
      <c r="G16">
        <f>'附件3 规划内'!G106</f>
        <v>0</v>
      </c>
      <c r="H16">
        <f>'附件3 规划内'!H106</f>
        <v>0</v>
      </c>
      <c r="I16" t="str">
        <f>'附件3 规划内'!I106</f>
        <v>完工</v>
      </c>
      <c r="J16">
        <f>'附件3 规划内'!J106</f>
        <v>1.73</v>
      </c>
      <c r="K16" t="str">
        <f>'附件3 规划内'!K106</f>
        <v/>
      </c>
      <c r="L16">
        <f>'附件3 规划内'!L106</f>
        <v>0</v>
      </c>
      <c r="M16" s="26">
        <f>'附件3 规划内'!M106</f>
        <v>44409</v>
      </c>
      <c r="N16" s="26">
        <f>'附件3 规划内'!N106</f>
        <v>44500</v>
      </c>
      <c r="O16" t="str">
        <f>'附件3 规划内'!O106</f>
        <v>市乡村振兴局</v>
      </c>
      <c r="P16" t="str">
        <f>'附件3 规划内'!P106</f>
        <v>通许县</v>
      </c>
      <c r="Q16">
        <f>'附件3 规划内'!Q106</f>
        <v>0</v>
      </c>
      <c r="R16">
        <f>'附件3 规划内'!R106</f>
        <v>0</v>
      </c>
      <c r="T16">
        <f>'附件4 规划外'!A89</f>
        <v>99</v>
      </c>
      <c r="U16" t="str">
        <f>'附件4 规划外'!B89</f>
        <v>2019年通许县厉庄乡马庄设施农业大棚奖补项目</v>
      </c>
      <c r="V16" t="str">
        <f>'附件4 规划外'!C89</f>
        <v>乡村振兴</v>
      </c>
      <c r="W16" t="str">
        <f>'附件4 规划外'!D89</f>
        <v>大棚受损5座棚膜受损</v>
      </c>
      <c r="X16">
        <f>'附件4 规划外'!E89</f>
        <v>0.7</v>
      </c>
      <c r="Y16">
        <f>'附件4 规划外'!F89</f>
        <v>0.7</v>
      </c>
      <c r="Z16">
        <f>'附件4 规划外'!G89</f>
        <v>0</v>
      </c>
      <c r="AA16">
        <f>'附件4 规划外'!H89</f>
        <v>0</v>
      </c>
      <c r="AB16" t="str">
        <f>'附件4 规划外'!I89</f>
        <v>完工</v>
      </c>
      <c r="AC16">
        <f>'附件4 规划外'!J89</f>
        <v>0.7</v>
      </c>
      <c r="AD16" t="str">
        <f>'附件4 规划外'!K89</f>
        <v/>
      </c>
      <c r="AE16" t="str">
        <f>'附件4 规划外'!L89</f>
        <v>已完工</v>
      </c>
      <c r="AF16" s="26">
        <f>'附件4 规划外'!M89</f>
        <v>44440</v>
      </c>
      <c r="AG16" s="26">
        <f>'附件4 规划外'!N89</f>
        <v>44531</v>
      </c>
      <c r="AH16" t="str">
        <f>'附件4 规划外'!O89</f>
        <v>市乡村振兴局</v>
      </c>
      <c r="AI16" t="str">
        <f>'附件4 规划外'!P89</f>
        <v>通许县</v>
      </c>
      <c r="AJ16">
        <f>'附件4 规划外'!Q89</f>
        <v>0</v>
      </c>
      <c r="AK16">
        <f>'附件4 规划外'!R89</f>
        <v>0</v>
      </c>
    </row>
    <row r="17" spans="1:37">
      <c r="A17">
        <f>'附件3 规划内'!A107</f>
        <v>106</v>
      </c>
      <c r="B17" t="str">
        <f>'附件3 规划内'!B107</f>
        <v>2019年四所楼镇三赵村设施农业大棚奖补项目</v>
      </c>
      <c r="C17" t="str">
        <f>'附件3 规划内'!C107</f>
        <v>乡村振兴</v>
      </c>
      <c r="D17" t="str">
        <f>'附件3 规划内'!D107</f>
        <v>仲舒岗村修复大棚10座棚膜，更换棚膜</v>
      </c>
      <c r="E17">
        <f>'附件3 规划内'!E107</f>
        <v>4.58</v>
      </c>
      <c r="F17">
        <f>'附件3 规划内'!F107</f>
        <v>4.58</v>
      </c>
      <c r="G17">
        <f>'附件3 规划内'!G107</f>
        <v>0</v>
      </c>
      <c r="H17">
        <f>'附件3 规划内'!H107</f>
        <v>0</v>
      </c>
      <c r="I17" t="str">
        <f>'附件3 规划内'!I107</f>
        <v>完工</v>
      </c>
      <c r="J17">
        <f>'附件3 规划内'!J107</f>
        <v>4.58</v>
      </c>
      <c r="K17" t="str">
        <f>'附件3 规划内'!K107</f>
        <v/>
      </c>
      <c r="L17">
        <f>'附件3 规划内'!L107</f>
        <v>0</v>
      </c>
      <c r="M17" s="26">
        <f>'附件3 规划内'!M107</f>
        <v>44409</v>
      </c>
      <c r="N17" s="26">
        <f>'附件3 规划内'!N107</f>
        <v>44500</v>
      </c>
      <c r="O17" t="str">
        <f>'附件3 规划内'!O107</f>
        <v>市乡村振兴局</v>
      </c>
      <c r="P17" t="str">
        <f>'附件3 规划内'!P107</f>
        <v>通许县</v>
      </c>
      <c r="Q17">
        <f>'附件3 规划内'!Q107</f>
        <v>0</v>
      </c>
      <c r="R17">
        <f>'附件3 规划内'!R107</f>
        <v>0</v>
      </c>
      <c r="T17">
        <f>'附件4 规划外'!A90</f>
        <v>100</v>
      </c>
      <c r="U17" t="str">
        <f>'附件4 规划外'!B90</f>
        <v>2018年通许县四所楼镇前罗村设施农业大棚奖补项目</v>
      </c>
      <c r="V17" t="str">
        <f>'附件4 规划外'!C90</f>
        <v>乡村振兴</v>
      </c>
      <c r="W17" t="str">
        <f>'附件4 规划外'!D90</f>
        <v>修复大棚25座</v>
      </c>
      <c r="X17">
        <f>'附件4 规划外'!E90</f>
        <v>1.5</v>
      </c>
      <c r="Y17">
        <f>'附件4 规划外'!F90</f>
        <v>1.5</v>
      </c>
      <c r="Z17">
        <f>'附件4 规划外'!G90</f>
        <v>0</v>
      </c>
      <c r="AA17">
        <f>'附件4 规划外'!H90</f>
        <v>0</v>
      </c>
      <c r="AB17" t="str">
        <f>'附件4 规划外'!I90</f>
        <v>完工</v>
      </c>
      <c r="AC17">
        <f>'附件4 规划外'!J90</f>
        <v>1.5</v>
      </c>
      <c r="AD17" t="str">
        <f>'附件4 规划外'!K90</f>
        <v/>
      </c>
      <c r="AE17" t="str">
        <f>'附件4 规划外'!L90</f>
        <v>已完工</v>
      </c>
      <c r="AF17" s="26">
        <f>'附件4 规划外'!M90</f>
        <v>44440</v>
      </c>
      <c r="AG17" s="26">
        <f>'附件4 规划外'!N90</f>
        <v>44531</v>
      </c>
      <c r="AH17" t="str">
        <f>'附件4 规划外'!O90</f>
        <v>市乡村振兴局</v>
      </c>
      <c r="AI17" t="str">
        <f>'附件4 规划外'!P90</f>
        <v>通许县</v>
      </c>
      <c r="AJ17">
        <f>'附件4 规划外'!Q90</f>
        <v>0</v>
      </c>
      <c r="AK17">
        <f>'附件4 规划外'!R90</f>
        <v>0</v>
      </c>
    </row>
    <row r="18" spans="1:18">
      <c r="A18">
        <f>'附件3 规划内'!A108</f>
        <v>107</v>
      </c>
      <c r="B18" t="str">
        <f>'附件3 规划内'!B108</f>
        <v>2018年通许县四所楼镇任寨设施农业大棚奖补项目</v>
      </c>
      <c r="C18" t="str">
        <f>'附件3 规划内'!C108</f>
        <v>乡村振兴</v>
      </c>
      <c r="D18" t="str">
        <f>'附件3 规划内'!D108</f>
        <v>沈公村修复大棚15座棚，更换棚膜</v>
      </c>
      <c r="E18">
        <f>'附件3 规划内'!E108</f>
        <v>5.32</v>
      </c>
      <c r="F18">
        <f>'附件3 规划内'!F108</f>
        <v>5.32</v>
      </c>
      <c r="G18">
        <f>'附件3 规划内'!G108</f>
        <v>0</v>
      </c>
      <c r="H18">
        <f>'附件3 规划内'!H108</f>
        <v>0</v>
      </c>
      <c r="I18" t="str">
        <f>'附件3 规划内'!I108</f>
        <v>完工</v>
      </c>
      <c r="J18">
        <f>'附件3 规划内'!J108</f>
        <v>5.32</v>
      </c>
      <c r="K18" t="str">
        <f>'附件3 规划内'!K108</f>
        <v/>
      </c>
      <c r="L18">
        <f>'附件3 规划内'!L108</f>
        <v>0</v>
      </c>
      <c r="M18" s="26">
        <f>'附件3 规划内'!M108</f>
        <v>44409</v>
      </c>
      <c r="N18" s="26">
        <f>'附件3 规划内'!N108</f>
        <v>44500</v>
      </c>
      <c r="O18" t="str">
        <f>'附件3 规划内'!O108</f>
        <v>市乡村振兴局</v>
      </c>
      <c r="P18" t="str">
        <f>'附件3 规划内'!P108</f>
        <v>通许县</v>
      </c>
      <c r="Q18">
        <f>'附件3 规划内'!Q108</f>
        <v>0</v>
      </c>
      <c r="R18">
        <f>'附件3 规划内'!R108</f>
        <v>0</v>
      </c>
    </row>
    <row r="19" spans="1:18">
      <c r="A19">
        <f>'附件3 规划内'!A109</f>
        <v>108</v>
      </c>
      <c r="B19" t="str">
        <f>'附件3 规划内'!B109</f>
        <v>2019年通许县四所楼镇仲舒岗村设施农业大棚奖补项目</v>
      </c>
      <c r="C19" t="str">
        <f>'附件3 规划内'!C109</f>
        <v>乡村振兴</v>
      </c>
      <c r="D19" t="str">
        <f>'附件3 规划内'!D109</f>
        <v>11座大棚薄膜更换</v>
      </c>
      <c r="E19">
        <f>'附件3 规划内'!E109</f>
        <v>2.1</v>
      </c>
      <c r="F19">
        <f>'附件3 规划内'!F109</f>
        <v>2.1</v>
      </c>
      <c r="G19">
        <f>'附件3 规划内'!G109</f>
        <v>0</v>
      </c>
      <c r="H19">
        <f>'附件3 规划内'!H109</f>
        <v>0</v>
      </c>
      <c r="I19" t="str">
        <f>'附件3 规划内'!I109</f>
        <v>完工</v>
      </c>
      <c r="J19">
        <f>'附件3 规划内'!J109</f>
        <v>2.1</v>
      </c>
      <c r="K19" t="str">
        <f>'附件3 规划内'!K109</f>
        <v/>
      </c>
      <c r="L19">
        <f>'附件3 规划内'!L109</f>
        <v>0</v>
      </c>
      <c r="M19" s="26">
        <f>'附件3 规划内'!M109</f>
        <v>44409</v>
      </c>
      <c r="N19" s="26">
        <f>'附件3 规划内'!N109</f>
        <v>44500</v>
      </c>
      <c r="O19" t="str">
        <f>'附件3 规划内'!O109</f>
        <v>市乡村振兴局</v>
      </c>
      <c r="P19" t="str">
        <f>'附件3 规划内'!P109</f>
        <v>通许县</v>
      </c>
      <c r="Q19">
        <f>'附件3 规划内'!Q109</f>
        <v>0</v>
      </c>
      <c r="R19">
        <f>'附件3 规划内'!R109</f>
        <v>0</v>
      </c>
    </row>
    <row r="20" spans="1:18">
      <c r="A20">
        <f>'附件3 规划内'!A110</f>
        <v>109</v>
      </c>
      <c r="B20" t="str">
        <f>'附件3 规划内'!B110</f>
        <v>2019年通许县四所楼镇沈公村设施农业大棚奖补项目</v>
      </c>
      <c r="C20" t="str">
        <f>'附件3 规划内'!C110</f>
        <v>乡村振兴</v>
      </c>
      <c r="D20" t="str">
        <f>'附件3 规划内'!D110</f>
        <v>2座鸭棚压塌修复</v>
      </c>
      <c r="E20">
        <f>'附件3 规划内'!E110</f>
        <v>3.1</v>
      </c>
      <c r="F20">
        <f>'附件3 规划内'!F110</f>
        <v>3.1</v>
      </c>
      <c r="G20">
        <f>'附件3 规划内'!G110</f>
        <v>0</v>
      </c>
      <c r="H20">
        <f>'附件3 规划内'!H110</f>
        <v>0</v>
      </c>
      <c r="I20" t="str">
        <f>'附件3 规划内'!I110</f>
        <v>完工</v>
      </c>
      <c r="J20">
        <f>'附件3 规划内'!J110</f>
        <v>3.1</v>
      </c>
      <c r="K20" t="str">
        <f>'附件3 规划内'!K110</f>
        <v/>
      </c>
      <c r="L20">
        <f>'附件3 规划内'!L110</f>
        <v>0</v>
      </c>
      <c r="M20" s="26">
        <f>'附件3 规划内'!M110</f>
        <v>44409</v>
      </c>
      <c r="N20" s="26">
        <f>'附件3 规划内'!N110</f>
        <v>44500</v>
      </c>
      <c r="O20" t="str">
        <f>'附件3 规划内'!O110</f>
        <v>市乡村振兴局</v>
      </c>
      <c r="P20" t="str">
        <f>'附件3 规划内'!P110</f>
        <v>通许县</v>
      </c>
      <c r="Q20">
        <f>'附件3 规划内'!Q110</f>
        <v>0</v>
      </c>
      <c r="R20">
        <f>'附件3 规划内'!R110</f>
        <v>0</v>
      </c>
    </row>
    <row r="21" spans="1:18">
      <c r="A21">
        <f>'附件3 规划内'!A111</f>
        <v>110</v>
      </c>
      <c r="B21" t="str">
        <f>'附件3 规划内'!B111</f>
        <v>2018年长智镇东芦氏村蔬菜大棚项目</v>
      </c>
      <c r="C21" t="str">
        <f>'附件3 规划内'!C111</f>
        <v>乡村振兴</v>
      </c>
      <c r="D21" t="str">
        <f>'附件3 规划内'!D111</f>
        <v>11座大棚棚膜修复</v>
      </c>
      <c r="E21">
        <f>'附件3 规划内'!E111</f>
        <v>2.53</v>
      </c>
      <c r="F21">
        <f>'附件3 规划内'!F111</f>
        <v>2.53</v>
      </c>
      <c r="G21">
        <f>'附件3 规划内'!G111</f>
        <v>0</v>
      </c>
      <c r="H21">
        <f>'附件3 规划内'!H111</f>
        <v>0</v>
      </c>
      <c r="I21" t="str">
        <f>'附件3 规划内'!I111</f>
        <v>完工</v>
      </c>
      <c r="J21">
        <f>'附件3 规划内'!J111</f>
        <v>2.53</v>
      </c>
      <c r="K21" t="str">
        <f>'附件3 规划内'!K111</f>
        <v/>
      </c>
      <c r="L21">
        <f>'附件3 规划内'!L111</f>
        <v>0</v>
      </c>
      <c r="M21" s="26">
        <f>'附件3 规划内'!M111</f>
        <v>44409</v>
      </c>
      <c r="N21" s="26">
        <f>'附件3 规划内'!N111</f>
        <v>44500</v>
      </c>
      <c r="O21" t="str">
        <f>'附件3 规划内'!O111</f>
        <v>市乡村振兴局</v>
      </c>
      <c r="P21" t="str">
        <f>'附件3 规划内'!P111</f>
        <v>通许县</v>
      </c>
      <c r="Q21">
        <f>'附件3 规划内'!Q111</f>
        <v>0</v>
      </c>
      <c r="R21">
        <f>'附件3 规划内'!R111</f>
        <v>0</v>
      </c>
    </row>
    <row r="22" spans="1:18">
      <c r="A22">
        <f>'附件3 规划内'!A112</f>
        <v>111</v>
      </c>
      <c r="B22" t="str">
        <f>'附件3 规划内'!B112</f>
        <v>2018年长智镇东芦氏村鸭棚</v>
      </c>
      <c r="C22" t="str">
        <f>'附件3 规划内'!C112</f>
        <v>乡村振兴</v>
      </c>
      <c r="D22" t="str">
        <f>'附件3 规划内'!D112</f>
        <v>5座大棚棚膜修复</v>
      </c>
      <c r="E22">
        <f>'附件3 规划内'!E112</f>
        <v>6</v>
      </c>
      <c r="F22">
        <f>'附件3 规划内'!F112</f>
        <v>6</v>
      </c>
      <c r="G22">
        <f>'附件3 规划内'!G112</f>
        <v>0</v>
      </c>
      <c r="H22">
        <f>'附件3 规划内'!H112</f>
        <v>0</v>
      </c>
      <c r="I22" t="str">
        <f>'附件3 规划内'!I112</f>
        <v>完工</v>
      </c>
      <c r="J22">
        <f>'附件3 规划内'!J112</f>
        <v>6</v>
      </c>
      <c r="K22" t="str">
        <f>'附件3 规划内'!K112</f>
        <v/>
      </c>
      <c r="L22">
        <f>'附件3 规划内'!L112</f>
        <v>0</v>
      </c>
      <c r="M22" s="26">
        <f>'附件3 规划内'!M112</f>
        <v>44409</v>
      </c>
      <c r="N22" s="26">
        <f>'附件3 规划内'!N112</f>
        <v>44500</v>
      </c>
      <c r="O22" t="str">
        <f>'附件3 规划内'!O112</f>
        <v>市乡村振兴局</v>
      </c>
      <c r="P22" t="str">
        <f>'附件3 规划内'!P112</f>
        <v>通许县</v>
      </c>
      <c r="Q22">
        <f>'附件3 规划内'!Q112</f>
        <v>0</v>
      </c>
      <c r="R22">
        <f>'附件3 规划内'!R112</f>
        <v>0</v>
      </c>
    </row>
    <row r="23" spans="1:18">
      <c r="A23">
        <f>'附件3 规划内'!A113</f>
        <v>112</v>
      </c>
      <c r="B23" t="str">
        <f>'附件3 规划内'!B113</f>
        <v>2019年通许县长智镇老王庄村蔬菜大棚项目（深度贫困村项目）</v>
      </c>
      <c r="C23" t="str">
        <f>'附件3 规划内'!C113</f>
        <v>乡村振兴</v>
      </c>
      <c r="D23" t="str">
        <f>'附件3 规划内'!D113</f>
        <v>修复框架下陷的5座冷棚；修复塑料薄膜受损的3座冷棚；修复塑料薄膜受损的13座冷棚。</v>
      </c>
      <c r="E23">
        <f>'附件3 规划内'!E113</f>
        <v>6</v>
      </c>
      <c r="F23">
        <f>'附件3 规划内'!F113</f>
        <v>6</v>
      </c>
      <c r="G23">
        <f>'附件3 规划内'!G113</f>
        <v>0</v>
      </c>
      <c r="H23">
        <f>'附件3 规划内'!H113</f>
        <v>0</v>
      </c>
      <c r="I23" t="str">
        <f>'附件3 规划内'!I113</f>
        <v>完工</v>
      </c>
      <c r="J23">
        <f>'附件3 规划内'!J113</f>
        <v>6</v>
      </c>
      <c r="K23" t="str">
        <f>'附件3 规划内'!K113</f>
        <v/>
      </c>
      <c r="L23">
        <f>'附件3 规划内'!L113</f>
        <v>0</v>
      </c>
      <c r="M23" s="26">
        <f>'附件3 规划内'!M113</f>
        <v>44409</v>
      </c>
      <c r="N23" s="26">
        <f>'附件3 规划内'!N113</f>
        <v>44500</v>
      </c>
      <c r="O23" t="str">
        <f>'附件3 规划内'!O113</f>
        <v>市乡村振兴局</v>
      </c>
      <c r="P23" t="str">
        <f>'附件3 规划内'!P113</f>
        <v>通许县</v>
      </c>
      <c r="Q23">
        <f>'附件3 规划内'!Q113</f>
        <v>0</v>
      </c>
      <c r="R23">
        <f>'附件3 规划内'!R113</f>
        <v>0</v>
      </c>
    </row>
    <row r="24" spans="1:18">
      <c r="A24">
        <f>'附件3 规划内'!A114</f>
        <v>113</v>
      </c>
      <c r="B24" t="str">
        <f>'附件3 规划内'!B114</f>
        <v>2018年长智镇老王庄村深度贫困村蔬菜大棚项目</v>
      </c>
      <c r="C24" t="str">
        <f>'附件3 规划内'!C114</f>
        <v>乡村振兴</v>
      </c>
      <c r="D24" t="str">
        <f>'附件3 规划内'!D114</f>
        <v>厉大楼村15座冷棚，9个占地3亩，6个占地2.5亩，因汛情影响，塑料薄膜已全部损毁，需重新覆盖维修。</v>
      </c>
      <c r="E24">
        <f>'附件3 规划内'!E114</f>
        <v>7.2</v>
      </c>
      <c r="F24">
        <f>'附件3 规划内'!F114</f>
        <v>7.2</v>
      </c>
      <c r="G24">
        <f>'附件3 规划内'!G114</f>
        <v>0</v>
      </c>
      <c r="H24">
        <f>'附件3 规划内'!H114</f>
        <v>0</v>
      </c>
      <c r="I24" t="str">
        <f>'附件3 规划内'!I114</f>
        <v>完工</v>
      </c>
      <c r="J24">
        <f>'附件3 规划内'!J114</f>
        <v>7.2</v>
      </c>
      <c r="K24" t="str">
        <f>'附件3 规划内'!K114</f>
        <v/>
      </c>
      <c r="L24">
        <f>'附件3 规划内'!L114</f>
        <v>0</v>
      </c>
      <c r="M24" s="26">
        <f>'附件3 规划内'!M114</f>
        <v>44409</v>
      </c>
      <c r="N24" s="26">
        <f>'附件3 规划内'!N114</f>
        <v>44500</v>
      </c>
      <c r="O24" t="str">
        <f>'附件3 规划内'!O114</f>
        <v>市乡村振兴局</v>
      </c>
      <c r="P24" t="str">
        <f>'附件3 规划内'!P114</f>
        <v>通许县</v>
      </c>
      <c r="Q24">
        <f>'附件3 规划内'!Q114</f>
        <v>0</v>
      </c>
      <c r="R24">
        <f>'附件3 规划内'!R114</f>
        <v>0</v>
      </c>
    </row>
    <row r="25" spans="1:18">
      <c r="A25">
        <f>'附件3 规划内'!A115</f>
        <v>114</v>
      </c>
      <c r="B25" t="str">
        <f>'附件3 规划内'!B115</f>
        <v>2020年通许县练城乡拐王村扶贫产业园大棚建设项目</v>
      </c>
      <c r="C25" t="str">
        <f>'附件3 规划内'!C115</f>
        <v>乡村振兴</v>
      </c>
      <c r="D25" t="str">
        <f>'附件3 规划内'!D115</f>
        <v>彪岗村8座大棚，每座占地2亩，防风卷帘严重损毁，需要修复。</v>
      </c>
      <c r="E25">
        <f>'附件3 规划内'!E115</f>
        <v>1.95</v>
      </c>
      <c r="F25">
        <f>'附件3 规划内'!F115</f>
        <v>1.95</v>
      </c>
      <c r="G25">
        <f>'附件3 规划内'!G115</f>
        <v>0</v>
      </c>
      <c r="H25">
        <f>'附件3 规划内'!H115</f>
        <v>0</v>
      </c>
      <c r="I25" t="str">
        <f>'附件3 规划内'!I115</f>
        <v>完工</v>
      </c>
      <c r="J25">
        <f>'附件3 规划内'!J115</f>
        <v>1.95</v>
      </c>
      <c r="K25" t="str">
        <f>'附件3 规划内'!K115</f>
        <v/>
      </c>
      <c r="L25">
        <f>'附件3 规划内'!L115</f>
        <v>0</v>
      </c>
      <c r="M25" s="26">
        <f>'附件3 规划内'!M115</f>
        <v>44409</v>
      </c>
      <c r="N25" s="26">
        <f>'附件3 规划内'!N115</f>
        <v>44500</v>
      </c>
      <c r="O25" t="str">
        <f>'附件3 规划内'!O115</f>
        <v>市乡村振兴局</v>
      </c>
      <c r="P25" t="str">
        <f>'附件3 规划内'!P115</f>
        <v>通许县</v>
      </c>
      <c r="Q25">
        <f>'附件3 规划内'!Q115</f>
        <v>0</v>
      </c>
      <c r="R25">
        <f>'附件3 规划内'!R115</f>
        <v>0</v>
      </c>
    </row>
    <row r="26" spans="1:18">
      <c r="A26">
        <f>'附件3 规划内'!A116</f>
        <v>115</v>
      </c>
      <c r="B26" t="str">
        <f>'附件3 规划内'!B116</f>
        <v>2019年练城乡厉大楼村产业奖补大棚</v>
      </c>
      <c r="C26" t="str">
        <f>'附件3 规划内'!C116</f>
        <v>乡村振兴</v>
      </c>
      <c r="D26" t="str">
        <f>'附件3 规划内'!D116</f>
        <v>77座大棚棚膜修复、大棚门更换25个</v>
      </c>
      <c r="E26">
        <f>'附件3 规划内'!E116</f>
        <v>9.5</v>
      </c>
      <c r="F26">
        <f>'附件3 规划内'!F116</f>
        <v>9.5</v>
      </c>
      <c r="G26">
        <f>'附件3 规划内'!G116</f>
        <v>0</v>
      </c>
      <c r="H26">
        <f>'附件3 规划内'!H116</f>
        <v>0</v>
      </c>
      <c r="I26" t="str">
        <f>'附件3 规划内'!I116</f>
        <v>完工</v>
      </c>
      <c r="J26">
        <f>'附件3 规划内'!J116</f>
        <v>9.5</v>
      </c>
      <c r="K26" t="str">
        <f>'附件3 规划内'!K116</f>
        <v/>
      </c>
      <c r="L26">
        <f>'附件3 规划内'!L116</f>
        <v>0</v>
      </c>
      <c r="M26" s="26">
        <f>'附件3 规划内'!M116</f>
        <v>44409</v>
      </c>
      <c r="N26" s="26">
        <f>'附件3 规划内'!N116</f>
        <v>44500</v>
      </c>
      <c r="O26" t="str">
        <f>'附件3 规划内'!O116</f>
        <v>市乡村振兴局</v>
      </c>
      <c r="P26" t="str">
        <f>'附件3 规划内'!P116</f>
        <v>通许县</v>
      </c>
      <c r="Q26">
        <f>'附件3 规划内'!Q116</f>
        <v>0</v>
      </c>
      <c r="R26">
        <f>'附件3 规划内'!R116</f>
        <v>0</v>
      </c>
    </row>
    <row r="27" spans="1:18">
      <c r="A27">
        <f>'附件3 规划内'!A117</f>
        <v>116</v>
      </c>
      <c r="B27" t="str">
        <f>'附件3 规划内'!B117</f>
        <v>2019年练城乡彪岗村产业奖补大棚</v>
      </c>
      <c r="C27" t="str">
        <f>'附件3 规划内'!C117</f>
        <v>乡村振兴</v>
      </c>
      <c r="D27" t="str">
        <f>'附件3 规划内'!D117</f>
        <v>3座大棚棚膜修复、1座大棚骨架，30座大棚棚门</v>
      </c>
      <c r="E27">
        <f>'附件3 规划内'!E117</f>
        <v>1.2</v>
      </c>
      <c r="F27">
        <f>'附件3 规划内'!F117</f>
        <v>1.2</v>
      </c>
      <c r="G27">
        <f>'附件3 规划内'!G117</f>
        <v>0</v>
      </c>
      <c r="H27">
        <f>'附件3 规划内'!H117</f>
        <v>0</v>
      </c>
      <c r="I27" t="str">
        <f>'附件3 规划内'!I117</f>
        <v>完工</v>
      </c>
      <c r="J27">
        <f>'附件3 规划内'!J117</f>
        <v>1.2</v>
      </c>
      <c r="K27" t="str">
        <f>'附件3 规划内'!K117</f>
        <v/>
      </c>
      <c r="L27">
        <f>'附件3 规划内'!L117</f>
        <v>0</v>
      </c>
      <c r="M27" s="26">
        <f>'附件3 规划内'!M117</f>
        <v>44409</v>
      </c>
      <c r="N27" s="26">
        <f>'附件3 规划内'!N117</f>
        <v>44500</v>
      </c>
      <c r="O27" t="str">
        <f>'附件3 规划内'!O117</f>
        <v>市乡村振兴局</v>
      </c>
      <c r="P27" t="str">
        <f>'附件3 规划内'!P117</f>
        <v>通许县</v>
      </c>
      <c r="Q27">
        <f>'附件3 规划内'!Q117</f>
        <v>0</v>
      </c>
      <c r="R27">
        <f>'附件3 规划内'!R117</f>
        <v>0</v>
      </c>
    </row>
    <row r="28" spans="1:18">
      <c r="A28">
        <f>'附件3 规划内'!A118</f>
        <v>117</v>
      </c>
      <c r="B28" t="str">
        <f>'附件3 规划内'!B118</f>
        <v>2018年朱砂镇斗厢村设施农业大棚奖补项目</v>
      </c>
      <c r="C28" t="str">
        <f>'附件3 规划内'!C118</f>
        <v>乡村振兴</v>
      </c>
      <c r="D28" t="str">
        <f>'附件3 规划内'!D118</f>
        <v>9座半冬暖大棚棚膜、棚体修复</v>
      </c>
      <c r="E28">
        <f>'附件3 规划内'!E118</f>
        <v>44.76</v>
      </c>
      <c r="F28">
        <f>'附件3 规划内'!F118</f>
        <v>44.76</v>
      </c>
      <c r="G28">
        <f>'附件3 规划内'!G118</f>
        <v>0</v>
      </c>
      <c r="H28">
        <f>'附件3 规划内'!H118</f>
        <v>0</v>
      </c>
      <c r="I28" t="str">
        <f>'附件3 规划内'!I118</f>
        <v>完工</v>
      </c>
      <c r="J28">
        <f>'附件3 规划内'!J118</f>
        <v>44.76</v>
      </c>
      <c r="K28" t="str">
        <f>'附件3 规划内'!K118</f>
        <v/>
      </c>
      <c r="L28">
        <f>'附件3 规划内'!L118</f>
        <v>0</v>
      </c>
      <c r="M28" s="26">
        <f>'附件3 规划内'!M118</f>
        <v>44409</v>
      </c>
      <c r="N28" s="26">
        <f>'附件3 规划内'!N118</f>
        <v>44500</v>
      </c>
      <c r="O28" t="str">
        <f>'附件3 规划内'!O118</f>
        <v>市乡村振兴局</v>
      </c>
      <c r="P28" t="str">
        <f>'附件3 规划内'!P118</f>
        <v>通许县</v>
      </c>
      <c r="Q28">
        <f>'附件3 规划内'!Q118</f>
        <v>0</v>
      </c>
      <c r="R28">
        <f>'附件3 规划内'!R118</f>
        <v>0</v>
      </c>
    </row>
    <row r="29" spans="1:18">
      <c r="A29">
        <f>'附件3 规划内'!A119</f>
        <v>118</v>
      </c>
      <c r="B29" t="str">
        <f>'附件3 规划内'!B119</f>
        <v>2018年大岗李乡浦口村产业大棚项目</v>
      </c>
      <c r="C29" t="str">
        <f>'附件3 规划内'!C119</f>
        <v>乡村振兴</v>
      </c>
      <c r="D29" t="str">
        <f>'附件3 规划内'!D119</f>
        <v>仲庄村5座冷棚，每座占地09亩，塑料薄膜已全部损毁，需重新覆盖维修:其中3座大棚骨架需进行维修。</v>
      </c>
      <c r="E29">
        <f>'附件3 规划内'!E119</f>
        <v>0.82</v>
      </c>
      <c r="F29">
        <f>'附件3 规划内'!F119</f>
        <v>0.82</v>
      </c>
      <c r="G29">
        <f>'附件3 规划内'!G119</f>
        <v>0</v>
      </c>
      <c r="H29">
        <f>'附件3 规划内'!H119</f>
        <v>0</v>
      </c>
      <c r="I29" t="str">
        <f>'附件3 规划内'!I119</f>
        <v>完工</v>
      </c>
      <c r="J29">
        <f>'附件3 规划内'!J119</f>
        <v>0.82</v>
      </c>
      <c r="K29" t="str">
        <f>'附件3 规划内'!K119</f>
        <v/>
      </c>
      <c r="L29">
        <f>'附件3 规划内'!L119</f>
        <v>0</v>
      </c>
      <c r="M29" s="26">
        <f>'附件3 规划内'!M119</f>
        <v>44409</v>
      </c>
      <c r="N29" s="26">
        <f>'附件3 规划内'!N119</f>
        <v>44500</v>
      </c>
      <c r="O29" t="str">
        <f>'附件3 规划内'!O119</f>
        <v>市乡村振兴局</v>
      </c>
      <c r="P29" t="str">
        <f>'附件3 规划内'!P119</f>
        <v>通许县</v>
      </c>
      <c r="Q29">
        <f>'附件3 规划内'!Q119</f>
        <v>0</v>
      </c>
      <c r="R29">
        <f>'附件3 规划内'!R119</f>
        <v>0</v>
      </c>
    </row>
    <row r="30" spans="1:18">
      <c r="A30">
        <f>'附件3 规划内'!A120</f>
        <v>119</v>
      </c>
      <c r="B30" t="str">
        <f>'附件3 规划内'!B120</f>
        <v>2019年玉皇庙镇阜牛岗设施农业奖补大棚项目</v>
      </c>
      <c r="C30" t="str">
        <f>'附件3 规划内'!C120</f>
        <v>乡村振兴</v>
      </c>
      <c r="D30" t="str">
        <f>'附件3 规划内'!D120</f>
        <v>东时村6座冷棚因汛情影响，其中2座大棚薄膜需要进行修复，4座大棚薄膜需重新覆盖维修。</v>
      </c>
      <c r="E30">
        <f>'附件3 规划内'!E120</f>
        <v>9</v>
      </c>
      <c r="F30">
        <f>'附件3 规划内'!F120</f>
        <v>9</v>
      </c>
      <c r="G30">
        <f>'附件3 规划内'!G120</f>
        <v>0</v>
      </c>
      <c r="H30">
        <f>'附件3 规划内'!H120</f>
        <v>0</v>
      </c>
      <c r="I30" t="str">
        <f>'附件3 规划内'!I120</f>
        <v>完工</v>
      </c>
      <c r="J30">
        <f>'附件3 规划内'!J120</f>
        <v>9</v>
      </c>
      <c r="K30" t="str">
        <f>'附件3 规划内'!K120</f>
        <v/>
      </c>
      <c r="L30">
        <f>'附件3 规划内'!L120</f>
        <v>0</v>
      </c>
      <c r="M30" s="26">
        <f>'附件3 规划内'!M120</f>
        <v>44409</v>
      </c>
      <c r="N30" s="26">
        <f>'附件3 规划内'!N120</f>
        <v>44561</v>
      </c>
      <c r="O30" t="str">
        <f>'附件3 规划内'!O120</f>
        <v>市乡村振兴局</v>
      </c>
      <c r="P30" t="str">
        <f>'附件3 规划内'!P120</f>
        <v>通许县</v>
      </c>
      <c r="Q30">
        <f>'附件3 规划内'!Q120</f>
        <v>0</v>
      </c>
      <c r="R30">
        <f>'附件3 规划内'!R120</f>
        <v>0</v>
      </c>
    </row>
    <row r="31" spans="1:18">
      <c r="A31">
        <f>'附件3 规划内'!A121</f>
        <v>120</v>
      </c>
      <c r="B31" t="str">
        <f>'附件3 规划内'!B121</f>
        <v>2019年邸阁乡仲庄村设施农业奖补大棚项目</v>
      </c>
      <c r="C31" t="str">
        <f>'附件3 规划内'!C121</f>
        <v>乡村振兴</v>
      </c>
      <c r="D31" t="str">
        <f>'附件3 规划内'!D121</f>
        <v>6座大棚棚膜修复，更换棚膜</v>
      </c>
      <c r="E31">
        <f>'附件3 规划内'!E121</f>
        <v>1</v>
      </c>
      <c r="F31">
        <f>'附件3 规划内'!F121</f>
        <v>1</v>
      </c>
      <c r="G31">
        <f>'附件3 规划内'!G121</f>
        <v>0</v>
      </c>
      <c r="H31">
        <f>'附件3 规划内'!H121</f>
        <v>0</v>
      </c>
      <c r="I31" t="str">
        <f>'附件3 规划内'!I121</f>
        <v>完工</v>
      </c>
      <c r="J31">
        <f>'附件3 规划内'!J121</f>
        <v>1</v>
      </c>
      <c r="K31" t="str">
        <f>'附件3 规划内'!K121</f>
        <v/>
      </c>
      <c r="L31">
        <f>'附件3 规划内'!L121</f>
        <v>0</v>
      </c>
      <c r="M31" s="26">
        <f>'附件3 规划内'!M121</f>
        <v>44409</v>
      </c>
      <c r="N31" s="26">
        <f>'附件3 规划内'!N121</f>
        <v>44561</v>
      </c>
      <c r="O31" t="str">
        <f>'附件3 规划内'!O121</f>
        <v>市乡村振兴局</v>
      </c>
      <c r="P31" t="str">
        <f>'附件3 规划内'!P121</f>
        <v>通许县</v>
      </c>
      <c r="Q31">
        <f>'附件3 规划内'!Q121</f>
        <v>0</v>
      </c>
      <c r="R31">
        <f>'附件3 规划内'!R121</f>
        <v>0</v>
      </c>
    </row>
    <row r="32" spans="1:18">
      <c r="A32">
        <f>'附件3 规划内'!A122</f>
        <v>121</v>
      </c>
      <c r="B32" t="str">
        <f>'附件3 规划内'!B122</f>
        <v>2019年邸阁乡东时村设施农业奖补大棚项目</v>
      </c>
      <c r="C32" t="str">
        <f>'附件3 规划内'!C122</f>
        <v>乡村振兴</v>
      </c>
      <c r="D32" t="str">
        <f>'附件3 规划内'!D122</f>
        <v>东时村6座冷棚因汛情影响，其中2座大棚薄膜需要进行修复，4座大棚薄膜需重新覆盖维修。</v>
      </c>
      <c r="E32">
        <f>'附件3 规划内'!E122</f>
        <v>1.8</v>
      </c>
      <c r="F32">
        <f>'附件3 规划内'!F122</f>
        <v>1.8</v>
      </c>
      <c r="G32">
        <f>'附件3 规划内'!G122</f>
        <v>0</v>
      </c>
      <c r="H32">
        <f>'附件3 规划内'!H122</f>
        <v>0</v>
      </c>
      <c r="I32" t="str">
        <f>'附件3 规划内'!I122</f>
        <v>完工</v>
      </c>
      <c r="J32">
        <f>'附件3 规划内'!J122</f>
        <v>1.8</v>
      </c>
      <c r="K32" t="str">
        <f>'附件3 规划内'!K122</f>
        <v/>
      </c>
      <c r="L32">
        <f>'附件3 规划内'!L122</f>
        <v>0</v>
      </c>
      <c r="M32" s="26">
        <f>'附件3 规划内'!M122</f>
        <v>44409</v>
      </c>
      <c r="N32" s="26">
        <f>'附件3 规划内'!N122</f>
        <v>44561</v>
      </c>
      <c r="O32" t="str">
        <f>'附件3 规划内'!O122</f>
        <v>市乡村振兴局</v>
      </c>
      <c r="P32" t="str">
        <f>'附件3 规划内'!P122</f>
        <v>通许县</v>
      </c>
      <c r="Q32">
        <f>'附件3 规划内'!Q122</f>
        <v>0</v>
      </c>
      <c r="R32">
        <f>'附件3 规划内'!R122</f>
        <v>0</v>
      </c>
    </row>
    <row r="33" spans="1:18">
      <c r="A33">
        <f>'附件3 规划内'!A123</f>
        <v>122</v>
      </c>
      <c r="B33" t="str">
        <f>'附件3 规划内'!B123</f>
        <v>2019年四所楼镇岭西村设施农业奖补大棚项目</v>
      </c>
      <c r="C33" t="str">
        <f>'附件3 规划内'!C123</f>
        <v>乡村振兴</v>
      </c>
      <c r="D33" t="str">
        <f>'附件3 规划内'!D123</f>
        <v>6座大棚棚膜修复，更换棚膜</v>
      </c>
      <c r="E33">
        <f>'附件3 规划内'!E123</f>
        <v>1.2</v>
      </c>
      <c r="F33">
        <f>'附件3 规划内'!F123</f>
        <v>1.2</v>
      </c>
      <c r="G33">
        <f>'附件3 规划内'!G123</f>
        <v>0</v>
      </c>
      <c r="H33">
        <f>'附件3 规划内'!H123</f>
        <v>0</v>
      </c>
      <c r="I33" t="str">
        <f>'附件3 规划内'!I123</f>
        <v>完工</v>
      </c>
      <c r="J33">
        <f>'附件3 规划内'!J123</f>
        <v>1.2</v>
      </c>
      <c r="K33" t="str">
        <f>'附件3 规划内'!K123</f>
        <v/>
      </c>
      <c r="L33">
        <f>'附件3 规划内'!L123</f>
        <v>0</v>
      </c>
      <c r="M33" s="26">
        <f>'附件3 规划内'!M123</f>
        <v>44409</v>
      </c>
      <c r="N33" s="26">
        <f>'附件3 规划内'!N123</f>
        <v>44561</v>
      </c>
      <c r="O33" t="str">
        <f>'附件3 规划内'!O123</f>
        <v>市乡村振兴局</v>
      </c>
      <c r="P33" t="str">
        <f>'附件3 规划内'!P123</f>
        <v>通许县</v>
      </c>
      <c r="Q33">
        <f>'附件3 规划内'!Q123</f>
        <v>0</v>
      </c>
      <c r="R33">
        <f>'附件3 规划内'!R123</f>
        <v>0</v>
      </c>
    </row>
    <row r="34" spans="1:18">
      <c r="A34">
        <f>'附件3 规划内'!A124</f>
        <v>123</v>
      </c>
      <c r="B34" t="str">
        <f>'附件3 规划内'!B124</f>
        <v>2019年陈留镇十里铺村贫困村提升工程村内道路</v>
      </c>
      <c r="C34" t="str">
        <f>'附件3 规划内'!C124</f>
        <v>乡村振兴</v>
      </c>
      <c r="D34" t="str">
        <f>'附件3 规划内'!D124</f>
        <v>通村道路0.5公里</v>
      </c>
      <c r="E34">
        <f>'附件3 规划内'!E124</f>
        <v>4</v>
      </c>
      <c r="F34">
        <f>'附件3 规划内'!F124</f>
        <v>4</v>
      </c>
      <c r="G34">
        <f>'附件3 规划内'!G124</f>
        <v>0</v>
      </c>
      <c r="H34">
        <f>'附件3 规划内'!H124</f>
        <v>0</v>
      </c>
      <c r="I34" t="str">
        <f>'附件3 规划内'!I124</f>
        <v>完工</v>
      </c>
      <c r="J34">
        <f>'附件3 规划内'!J124</f>
        <v>4</v>
      </c>
      <c r="K34" t="str">
        <f>'附件3 规划内'!K124</f>
        <v/>
      </c>
      <c r="L34">
        <f>'附件3 规划内'!L124</f>
        <v>0</v>
      </c>
      <c r="M34" s="26">
        <f>'附件3 规划内'!M124</f>
        <v>44440</v>
      </c>
      <c r="N34" s="26">
        <f>'附件3 规划内'!N124</f>
        <v>44499</v>
      </c>
      <c r="O34" t="str">
        <f>'附件3 规划内'!O124</f>
        <v>市乡村振兴局</v>
      </c>
      <c r="P34" t="str">
        <f>'附件3 规划内'!P124</f>
        <v>祥符区</v>
      </c>
      <c r="Q34">
        <f>'附件3 规划内'!Q124</f>
        <v>0</v>
      </c>
      <c r="R34">
        <f>'附件3 规划内'!R124</f>
        <v>0</v>
      </c>
    </row>
    <row r="35" spans="1:18">
      <c r="A35">
        <f>'附件3 规划内'!A125</f>
        <v>124</v>
      </c>
      <c r="B35" t="str">
        <f>'附件3 规划内'!B125</f>
        <v>2019年陈留镇八里庙村贫困村提升工程村内道路</v>
      </c>
      <c r="C35" t="str">
        <f>'附件3 规划内'!C125</f>
        <v>乡村振兴</v>
      </c>
      <c r="D35" t="str">
        <f>'附件3 规划内'!D125</f>
        <v>通村道路0.05公里</v>
      </c>
      <c r="E35">
        <f>'附件3 规划内'!E125</f>
        <v>4</v>
      </c>
      <c r="F35">
        <f>'附件3 规划内'!F125</f>
        <v>4</v>
      </c>
      <c r="G35">
        <f>'附件3 规划内'!G125</f>
        <v>0</v>
      </c>
      <c r="H35">
        <f>'附件3 规划内'!H125</f>
        <v>0</v>
      </c>
      <c r="I35" t="str">
        <f>'附件3 规划内'!I125</f>
        <v>完工</v>
      </c>
      <c r="J35">
        <f>'附件3 规划内'!J125</f>
        <v>4</v>
      </c>
      <c r="K35" t="str">
        <f>'附件3 规划内'!K125</f>
        <v/>
      </c>
      <c r="L35">
        <f>'附件3 规划内'!L125</f>
        <v>0</v>
      </c>
      <c r="M35" s="26">
        <f>'附件3 规划内'!M125</f>
        <v>44440</v>
      </c>
      <c r="N35" s="26">
        <f>'附件3 规划内'!N125</f>
        <v>44499</v>
      </c>
      <c r="O35" t="str">
        <f>'附件3 规划内'!O125</f>
        <v>市乡村振兴局</v>
      </c>
      <c r="P35" t="str">
        <f>'附件3 规划内'!P125</f>
        <v>祥符区</v>
      </c>
      <c r="Q35">
        <f>'附件3 规划内'!Q125</f>
        <v>0</v>
      </c>
      <c r="R35">
        <f>'附件3 规划内'!R125</f>
        <v>0</v>
      </c>
    </row>
    <row r="36" spans="1:18">
      <c r="A36">
        <f>'附件3 规划内'!A126</f>
        <v>125</v>
      </c>
      <c r="B36" t="str">
        <f>'附件3 规划内'!B126</f>
        <v>2019年仇楼镇十里铺村贫困村提升工程村内道路</v>
      </c>
      <c r="C36" t="str">
        <f>'附件3 规划内'!C126</f>
        <v>乡村振兴</v>
      </c>
      <c r="D36" t="str">
        <f>'附件3 规划内'!D126</f>
        <v>通村道路0.2公里</v>
      </c>
      <c r="E36">
        <f>'附件3 规划内'!E126</f>
        <v>1.8</v>
      </c>
      <c r="F36">
        <f>'附件3 规划内'!F126</f>
        <v>1.8</v>
      </c>
      <c r="G36">
        <f>'附件3 规划内'!G126</f>
        <v>0</v>
      </c>
      <c r="H36">
        <f>'附件3 规划内'!H126</f>
        <v>0</v>
      </c>
      <c r="I36" t="str">
        <f>'附件3 规划内'!I126</f>
        <v>完工</v>
      </c>
      <c r="J36">
        <f>'附件3 规划内'!J126</f>
        <v>1.8</v>
      </c>
      <c r="K36" t="str">
        <f>'附件3 规划内'!K126</f>
        <v/>
      </c>
      <c r="L36">
        <f>'附件3 规划内'!L126</f>
        <v>0</v>
      </c>
      <c r="M36" s="26">
        <f>'附件3 规划内'!M126</f>
        <v>44440</v>
      </c>
      <c r="N36" s="26">
        <f>'附件3 规划内'!N126</f>
        <v>44499</v>
      </c>
      <c r="O36" t="str">
        <f>'附件3 规划内'!O126</f>
        <v>市乡村振兴局</v>
      </c>
      <c r="P36" t="str">
        <f>'附件3 规划内'!P126</f>
        <v>祥符区</v>
      </c>
      <c r="Q36">
        <f>'附件3 规划内'!Q126</f>
        <v>0</v>
      </c>
      <c r="R36">
        <f>'附件3 规划内'!R126</f>
        <v>0</v>
      </c>
    </row>
    <row r="37" spans="1:18">
      <c r="A37">
        <f>'附件3 规划内'!A127</f>
        <v>126</v>
      </c>
      <c r="B37" t="str">
        <f>'附件3 规划内'!B127</f>
        <v>2019年八里湾镇大马营村贫困村提升工程村内道路</v>
      </c>
      <c r="C37" t="str">
        <f>'附件3 规划内'!C127</f>
        <v>乡村振兴</v>
      </c>
      <c r="D37" t="str">
        <f>'附件3 规划内'!D127</f>
        <v>通村道路4公里</v>
      </c>
      <c r="E37">
        <f>'附件3 规划内'!E127</f>
        <v>1.2</v>
      </c>
      <c r="F37">
        <f>'附件3 规划内'!F127</f>
        <v>1.2</v>
      </c>
      <c r="G37">
        <f>'附件3 规划内'!G127</f>
        <v>0</v>
      </c>
      <c r="H37">
        <f>'附件3 规划内'!H127</f>
        <v>0</v>
      </c>
      <c r="I37" t="str">
        <f>'附件3 规划内'!I127</f>
        <v>完工</v>
      </c>
      <c r="J37">
        <f>'附件3 规划内'!J127</f>
        <v>1.2</v>
      </c>
      <c r="K37" t="str">
        <f>'附件3 规划内'!K127</f>
        <v/>
      </c>
      <c r="L37">
        <f>'附件3 规划内'!L127</f>
        <v>0</v>
      </c>
      <c r="M37" s="26">
        <f>'附件3 规划内'!M127</f>
        <v>44440</v>
      </c>
      <c r="N37" s="26">
        <f>'附件3 规划内'!N127</f>
        <v>44499</v>
      </c>
      <c r="O37" t="str">
        <f>'附件3 规划内'!O127</f>
        <v>市乡村振兴局</v>
      </c>
      <c r="P37" t="str">
        <f>'附件3 规划内'!P127</f>
        <v>祥符区</v>
      </c>
      <c r="Q37">
        <f>'附件3 规划内'!Q127</f>
        <v>0</v>
      </c>
      <c r="R37">
        <f>'附件3 规划内'!R127</f>
        <v>0</v>
      </c>
    </row>
    <row r="38" spans="1:18">
      <c r="A38">
        <f>'附件3 规划内'!A128</f>
        <v>127</v>
      </c>
      <c r="B38" t="str">
        <f>'附件3 规划内'!B128</f>
        <v>2017年八里湾镇磨角楼村村内道路建设项目</v>
      </c>
      <c r="C38" t="str">
        <f>'附件3 规划内'!C128</f>
        <v>乡村振兴</v>
      </c>
      <c r="D38" t="str">
        <f>'附件3 规划内'!D128</f>
        <v>通村道路1.5公里</v>
      </c>
      <c r="E38">
        <f>'附件3 规划内'!E128</f>
        <v>3.5</v>
      </c>
      <c r="F38">
        <f>'附件3 规划内'!F128</f>
        <v>3.5</v>
      </c>
      <c r="G38">
        <f>'附件3 规划内'!G128</f>
        <v>0</v>
      </c>
      <c r="H38">
        <f>'附件3 规划内'!H128</f>
        <v>0</v>
      </c>
      <c r="I38" t="str">
        <f>'附件3 规划内'!I128</f>
        <v>完工</v>
      </c>
      <c r="J38">
        <f>'附件3 规划内'!J128</f>
        <v>3.5</v>
      </c>
      <c r="K38" t="str">
        <f>'附件3 规划内'!K128</f>
        <v/>
      </c>
      <c r="L38">
        <f>'附件3 规划内'!L128</f>
        <v>0</v>
      </c>
      <c r="M38" s="26">
        <f>'附件3 规划内'!M128</f>
        <v>44440</v>
      </c>
      <c r="N38" s="26">
        <f>'附件3 规划内'!N128</f>
        <v>44499</v>
      </c>
      <c r="O38" t="str">
        <f>'附件3 规划内'!O128</f>
        <v>市乡村振兴局</v>
      </c>
      <c r="P38" t="str">
        <f>'附件3 规划内'!P128</f>
        <v>祥符区</v>
      </c>
      <c r="Q38">
        <f>'附件3 规划内'!Q128</f>
        <v>0</v>
      </c>
      <c r="R38">
        <f>'附件3 规划内'!R128</f>
        <v>0</v>
      </c>
    </row>
    <row r="39" spans="1:18">
      <c r="A39">
        <f>'附件3 规划内'!A129</f>
        <v>128</v>
      </c>
      <c r="B39" t="str">
        <f>'附件3 规划内'!B129</f>
        <v>2017年曲兴镇后湾村村内道路建设项目</v>
      </c>
      <c r="C39" t="str">
        <f>'附件3 规划内'!C129</f>
        <v>乡村振兴</v>
      </c>
      <c r="D39" t="str">
        <f>'附件3 规划内'!D129</f>
        <v>通村道路0.03公里</v>
      </c>
      <c r="E39">
        <f>'附件3 规划内'!E129</f>
        <v>1.2</v>
      </c>
      <c r="F39">
        <f>'附件3 规划内'!F129</f>
        <v>1.2</v>
      </c>
      <c r="G39">
        <f>'附件3 规划内'!G129</f>
        <v>0</v>
      </c>
      <c r="H39">
        <f>'附件3 规划内'!H129</f>
        <v>0</v>
      </c>
      <c r="I39" t="str">
        <f>'附件3 规划内'!I129</f>
        <v>完工</v>
      </c>
      <c r="J39">
        <f>'附件3 规划内'!J129</f>
        <v>1.2</v>
      </c>
      <c r="K39" t="str">
        <f>'附件3 规划内'!K129</f>
        <v/>
      </c>
      <c r="L39">
        <f>'附件3 规划内'!L129</f>
        <v>0</v>
      </c>
      <c r="M39" s="26">
        <f>'附件3 规划内'!M129</f>
        <v>44440</v>
      </c>
      <c r="N39" s="26">
        <f>'附件3 规划内'!N129</f>
        <v>44499</v>
      </c>
      <c r="O39" t="str">
        <f>'附件3 规划内'!O129</f>
        <v>市乡村振兴局</v>
      </c>
      <c r="P39" t="str">
        <f>'附件3 规划内'!P129</f>
        <v>祥符区</v>
      </c>
      <c r="Q39">
        <f>'附件3 规划内'!Q129</f>
        <v>0</v>
      </c>
      <c r="R39">
        <f>'附件3 规划内'!R129</f>
        <v>0</v>
      </c>
    </row>
    <row r="40" spans="1:18">
      <c r="A40">
        <f>'附件3 规划内'!A130</f>
        <v>129</v>
      </c>
      <c r="B40" t="str">
        <f>'附件3 规划内'!B130</f>
        <v>2018年曲兴镇耿楼村村内道路</v>
      </c>
      <c r="C40" t="str">
        <f>'附件3 规划内'!C130</f>
        <v>乡村振兴</v>
      </c>
      <c r="D40" t="str">
        <f>'附件3 规划内'!D130</f>
        <v>通村道路5公里</v>
      </c>
      <c r="E40">
        <f>'附件3 规划内'!E130</f>
        <v>0.5</v>
      </c>
      <c r="F40">
        <f>'附件3 规划内'!F130</f>
        <v>0.5</v>
      </c>
      <c r="G40">
        <f>'附件3 规划内'!G130</f>
        <v>0</v>
      </c>
      <c r="H40">
        <f>'附件3 规划内'!H130</f>
        <v>0</v>
      </c>
      <c r="I40" t="str">
        <f>'附件3 规划内'!I130</f>
        <v>完工</v>
      </c>
      <c r="J40">
        <f>'附件3 规划内'!J130</f>
        <v>0.5</v>
      </c>
      <c r="K40" t="str">
        <f>'附件3 规划内'!K130</f>
        <v/>
      </c>
      <c r="L40">
        <f>'附件3 规划内'!L130</f>
        <v>0</v>
      </c>
      <c r="M40" s="26">
        <f>'附件3 规划内'!M130</f>
        <v>44440</v>
      </c>
      <c r="N40" s="26">
        <f>'附件3 规划内'!N130</f>
        <v>44499</v>
      </c>
      <c r="O40" t="str">
        <f>'附件3 规划内'!O130</f>
        <v>市乡村振兴局</v>
      </c>
      <c r="P40" t="str">
        <f>'附件3 规划内'!P130</f>
        <v>祥符区</v>
      </c>
      <c r="Q40">
        <f>'附件3 规划内'!Q130</f>
        <v>0</v>
      </c>
      <c r="R40">
        <f>'附件3 规划内'!R130</f>
        <v>0</v>
      </c>
    </row>
    <row r="41" spans="1:18">
      <c r="A41">
        <f>'附件3 规划内'!A131</f>
        <v>130</v>
      </c>
      <c r="B41" t="str">
        <f>'附件3 规划内'!B131</f>
        <v>2019年曲兴镇东田村贫困村提升工程村内道路</v>
      </c>
      <c r="C41" t="str">
        <f>'附件3 规划内'!C131</f>
        <v>乡村振兴</v>
      </c>
      <c r="D41" t="str">
        <f>'附件3 规划内'!D131</f>
        <v>通村道路0.02公里</v>
      </c>
      <c r="E41">
        <f>'附件3 规划内'!E131</f>
        <v>1.2</v>
      </c>
      <c r="F41">
        <f>'附件3 规划内'!F131</f>
        <v>1.2</v>
      </c>
      <c r="G41">
        <f>'附件3 规划内'!G131</f>
        <v>0</v>
      </c>
      <c r="H41">
        <f>'附件3 规划内'!H131</f>
        <v>0</v>
      </c>
      <c r="I41" t="str">
        <f>'附件3 规划内'!I131</f>
        <v>完工</v>
      </c>
      <c r="J41">
        <f>'附件3 规划内'!J131</f>
        <v>1.2</v>
      </c>
      <c r="K41" t="str">
        <f>'附件3 规划内'!K131</f>
        <v/>
      </c>
      <c r="L41">
        <f>'附件3 规划内'!L131</f>
        <v>0</v>
      </c>
      <c r="M41" s="26">
        <f>'附件3 规划内'!M131</f>
        <v>44440</v>
      </c>
      <c r="N41" s="26">
        <f>'附件3 规划内'!N131</f>
        <v>44499</v>
      </c>
      <c r="O41" t="str">
        <f>'附件3 规划内'!O131</f>
        <v>市乡村振兴局</v>
      </c>
      <c r="P41" t="str">
        <f>'附件3 规划内'!P131</f>
        <v>祥符区</v>
      </c>
      <c r="Q41">
        <f>'附件3 规划内'!Q131</f>
        <v>0</v>
      </c>
      <c r="R41">
        <f>'附件3 规划内'!R131</f>
        <v>0</v>
      </c>
    </row>
    <row r="42" spans="1:18">
      <c r="A42">
        <f>'附件3 规划内'!A132</f>
        <v>131</v>
      </c>
      <c r="B42" t="str">
        <f>'附件3 规划内'!B132</f>
        <v>罗王镇冯庄村村内道路建设项目</v>
      </c>
      <c r="C42" t="str">
        <f>'附件3 规划内'!C132</f>
        <v>乡村振兴</v>
      </c>
      <c r="D42" t="str">
        <f>'附件3 规划内'!D132</f>
        <v>通村道路0.3公里</v>
      </c>
      <c r="E42">
        <f>'附件3 规划内'!E132</f>
        <v>2</v>
      </c>
      <c r="F42">
        <f>'附件3 规划内'!F132</f>
        <v>2</v>
      </c>
      <c r="G42">
        <f>'附件3 规划内'!G132</f>
        <v>0</v>
      </c>
      <c r="H42">
        <f>'附件3 规划内'!H132</f>
        <v>0</v>
      </c>
      <c r="I42" t="str">
        <f>'附件3 规划内'!I132</f>
        <v>完工</v>
      </c>
      <c r="J42">
        <f>'附件3 规划内'!J132</f>
        <v>2</v>
      </c>
      <c r="K42" t="str">
        <f>'附件3 规划内'!K132</f>
        <v/>
      </c>
      <c r="L42">
        <f>'附件3 规划内'!L132</f>
        <v>0</v>
      </c>
      <c r="M42" s="26">
        <f>'附件3 规划内'!M132</f>
        <v>44440</v>
      </c>
      <c r="N42" s="26">
        <f>'附件3 规划内'!N132</f>
        <v>44499</v>
      </c>
      <c r="O42" t="str">
        <f>'附件3 规划内'!O132</f>
        <v>市乡村振兴局</v>
      </c>
      <c r="P42" t="str">
        <f>'附件3 规划内'!P132</f>
        <v>祥符区</v>
      </c>
      <c r="Q42">
        <f>'附件3 规划内'!Q132</f>
        <v>0</v>
      </c>
      <c r="R42">
        <f>'附件3 规划内'!R132</f>
        <v>0</v>
      </c>
    </row>
    <row r="43" spans="1:18">
      <c r="A43">
        <f>'附件3 规划内'!A133</f>
        <v>132</v>
      </c>
      <c r="B43" t="str">
        <f>'附件3 规划内'!B133</f>
        <v>刘店乡刘店村贫困村提升工程村内道路</v>
      </c>
      <c r="C43" t="str">
        <f>'附件3 规划内'!C133</f>
        <v>乡村振兴</v>
      </c>
      <c r="D43" t="str">
        <f>'附件3 规划内'!D133</f>
        <v>通村道路1.2公里</v>
      </c>
      <c r="E43">
        <f>'附件3 规划内'!E133</f>
        <v>3</v>
      </c>
      <c r="F43">
        <f>'附件3 规划内'!F133</f>
        <v>3</v>
      </c>
      <c r="G43">
        <f>'附件3 规划内'!G133</f>
        <v>0</v>
      </c>
      <c r="H43">
        <f>'附件3 规划内'!H133</f>
        <v>0</v>
      </c>
      <c r="I43" t="str">
        <f>'附件3 规划内'!I133</f>
        <v>完工</v>
      </c>
      <c r="J43">
        <f>'附件3 规划内'!J133</f>
        <v>3</v>
      </c>
      <c r="K43" t="str">
        <f>'附件3 规划内'!K133</f>
        <v/>
      </c>
      <c r="L43">
        <f>'附件3 规划内'!L133</f>
        <v>0</v>
      </c>
      <c r="M43" s="26">
        <f>'附件3 规划内'!M133</f>
        <v>44470</v>
      </c>
      <c r="N43" s="26">
        <f>'附件3 规划内'!N133</f>
        <v>44560</v>
      </c>
      <c r="O43" t="str">
        <f>'附件3 规划内'!O133</f>
        <v>市乡村振兴局</v>
      </c>
      <c r="P43" t="str">
        <f>'附件3 规划内'!P133</f>
        <v>祥符区</v>
      </c>
      <c r="Q43">
        <f>'附件3 规划内'!Q133</f>
        <v>0</v>
      </c>
      <c r="R43">
        <f>'附件3 规划内'!R133</f>
        <v>0</v>
      </c>
    </row>
    <row r="44" spans="1:18">
      <c r="A44">
        <f>'附件3 规划内'!A134</f>
        <v>133</v>
      </c>
      <c r="B44" t="str">
        <f>'附件3 规划内'!B134</f>
        <v>2018年刘店乡杜庄村村内道路</v>
      </c>
      <c r="C44" t="str">
        <f>'附件3 规划内'!C134</f>
        <v>乡村振兴</v>
      </c>
      <c r="D44" t="str">
        <f>'附件3 规划内'!D134</f>
        <v>通村道路0.05公里</v>
      </c>
      <c r="E44">
        <f>'附件3 规划内'!E134</f>
        <v>5</v>
      </c>
      <c r="F44">
        <f>'附件3 规划内'!F134</f>
        <v>5</v>
      </c>
      <c r="G44">
        <f>'附件3 规划内'!G134</f>
        <v>0</v>
      </c>
      <c r="H44">
        <f>'附件3 规划内'!H134</f>
        <v>0</v>
      </c>
      <c r="I44" t="str">
        <f>'附件3 规划内'!I134</f>
        <v>完工</v>
      </c>
      <c r="J44">
        <f>'附件3 规划内'!J134</f>
        <v>5</v>
      </c>
      <c r="K44" t="str">
        <f>'附件3 规划内'!K134</f>
        <v/>
      </c>
      <c r="L44">
        <f>'附件3 规划内'!L134</f>
        <v>0</v>
      </c>
      <c r="M44" s="26">
        <f>'附件3 规划内'!M134</f>
        <v>44470</v>
      </c>
      <c r="N44" s="26">
        <f>'附件3 规划内'!N134</f>
        <v>44560</v>
      </c>
      <c r="O44" t="str">
        <f>'附件3 规划内'!O134</f>
        <v>市乡村振兴局</v>
      </c>
      <c r="P44" t="str">
        <f>'附件3 规划内'!P134</f>
        <v>祥符区</v>
      </c>
      <c r="Q44">
        <f>'附件3 规划内'!Q134</f>
        <v>0</v>
      </c>
      <c r="R44">
        <f>'附件3 规划内'!R134</f>
        <v>0</v>
      </c>
    </row>
    <row r="45" spans="1:18">
      <c r="A45">
        <f>'附件3 规划内'!A135</f>
        <v>134</v>
      </c>
      <c r="B45" t="str">
        <f>'附件3 规划内'!B135</f>
        <v>2019年刘店乡郭景村贫困村提升工程村内道路</v>
      </c>
      <c r="C45" t="str">
        <f>'附件3 规划内'!C135</f>
        <v>乡村振兴</v>
      </c>
      <c r="D45" t="str">
        <f>'附件3 规划内'!D135</f>
        <v>通村道路0.15公里</v>
      </c>
      <c r="E45">
        <f>'附件3 规划内'!E135</f>
        <v>6</v>
      </c>
      <c r="F45">
        <f>'附件3 规划内'!F135</f>
        <v>6</v>
      </c>
      <c r="G45">
        <f>'附件3 规划内'!G135</f>
        <v>0</v>
      </c>
      <c r="H45">
        <f>'附件3 规划内'!H135</f>
        <v>0</v>
      </c>
      <c r="I45" t="str">
        <f>'附件3 规划内'!I135</f>
        <v>完工</v>
      </c>
      <c r="J45">
        <f>'附件3 规划内'!J135</f>
        <v>6</v>
      </c>
      <c r="K45" t="str">
        <f>'附件3 规划内'!K135</f>
        <v/>
      </c>
      <c r="L45">
        <f>'附件3 规划内'!L135</f>
        <v>0</v>
      </c>
      <c r="M45" s="26">
        <f>'附件3 规划内'!M135</f>
        <v>44440</v>
      </c>
      <c r="N45" s="26">
        <f>'附件3 规划内'!N135</f>
        <v>44499</v>
      </c>
      <c r="O45" t="str">
        <f>'附件3 规划内'!O135</f>
        <v>市乡村振兴局</v>
      </c>
      <c r="P45" t="str">
        <f>'附件3 规划内'!P135</f>
        <v>祥符区</v>
      </c>
      <c r="Q45">
        <f>'附件3 规划内'!Q135</f>
        <v>0</v>
      </c>
      <c r="R45">
        <f>'附件3 规划内'!R135</f>
        <v>0</v>
      </c>
    </row>
    <row r="46" spans="1:18">
      <c r="A46">
        <f>'附件3 规划内'!A136</f>
        <v>135</v>
      </c>
      <c r="B46" t="str">
        <f>'附件3 规划内'!B136</f>
        <v>2015年刘店乡王楼村内道路建设项目</v>
      </c>
      <c r="C46" t="str">
        <f>'附件3 规划内'!C136</f>
        <v>乡村振兴</v>
      </c>
      <c r="D46" t="str">
        <f>'附件3 规划内'!D136</f>
        <v>通村道路0.05公里</v>
      </c>
      <c r="E46">
        <f>'附件3 规划内'!E136</f>
        <v>2</v>
      </c>
      <c r="F46">
        <f>'附件3 规划内'!F136</f>
        <v>2</v>
      </c>
      <c r="G46">
        <f>'附件3 规划内'!G136</f>
        <v>0</v>
      </c>
      <c r="H46">
        <f>'附件3 规划内'!H136</f>
        <v>0</v>
      </c>
      <c r="I46" t="str">
        <f>'附件3 规划内'!I136</f>
        <v>完工</v>
      </c>
      <c r="J46">
        <f>'附件3 规划内'!J136</f>
        <v>2</v>
      </c>
      <c r="K46" t="str">
        <f>'附件3 规划内'!K136</f>
        <v/>
      </c>
      <c r="L46">
        <f>'附件3 规划内'!L136</f>
        <v>0</v>
      </c>
      <c r="M46" s="26">
        <f>'附件3 规划内'!M136</f>
        <v>44440</v>
      </c>
      <c r="N46" s="26">
        <f>'附件3 规划内'!N136</f>
        <v>44499</v>
      </c>
      <c r="O46" t="str">
        <f>'附件3 规划内'!O136</f>
        <v>市乡村振兴局</v>
      </c>
      <c r="P46" t="str">
        <f>'附件3 规划内'!P136</f>
        <v>祥符区</v>
      </c>
      <c r="Q46">
        <f>'附件3 规划内'!Q136</f>
        <v>0</v>
      </c>
      <c r="R46">
        <f>'附件3 规划内'!R136</f>
        <v>0</v>
      </c>
    </row>
    <row r="47" spans="1:18">
      <c r="A47">
        <f>'附件3 规划内'!A137</f>
        <v>136</v>
      </c>
      <c r="B47" t="str">
        <f>'附件3 规划内'!B137</f>
        <v>刘店乡西租良村内道路建设项目</v>
      </c>
      <c r="C47" t="str">
        <f>'附件3 规划内'!C137</f>
        <v>乡村振兴</v>
      </c>
      <c r="D47" t="str">
        <f>'附件3 规划内'!D137</f>
        <v>通村道路0.8公里</v>
      </c>
      <c r="E47">
        <f>'附件3 规划内'!E137</f>
        <v>6</v>
      </c>
      <c r="F47">
        <f>'附件3 规划内'!F137</f>
        <v>6</v>
      </c>
      <c r="G47">
        <f>'附件3 规划内'!G137</f>
        <v>0</v>
      </c>
      <c r="H47">
        <f>'附件3 规划内'!H137</f>
        <v>0</v>
      </c>
      <c r="I47" t="str">
        <f>'附件3 规划内'!I137</f>
        <v>完工</v>
      </c>
      <c r="J47">
        <f>'附件3 规划内'!J137</f>
        <v>6</v>
      </c>
      <c r="K47" t="str">
        <f>'附件3 规划内'!K137</f>
        <v/>
      </c>
      <c r="L47">
        <f>'附件3 规划内'!L137</f>
        <v>0</v>
      </c>
      <c r="M47" s="26">
        <f>'附件3 规划内'!M137</f>
        <v>44470</v>
      </c>
      <c r="N47" s="26">
        <f>'附件3 规划内'!N137</f>
        <v>44560</v>
      </c>
      <c r="O47" t="str">
        <f>'附件3 规划内'!O137</f>
        <v>市乡村振兴局</v>
      </c>
      <c r="P47" t="str">
        <f>'附件3 规划内'!P137</f>
        <v>祥符区</v>
      </c>
      <c r="Q47">
        <f>'附件3 规划内'!Q137</f>
        <v>0</v>
      </c>
      <c r="R47">
        <f>'附件3 规划内'!R137</f>
        <v>0</v>
      </c>
    </row>
    <row r="48" spans="1:18">
      <c r="A48">
        <f>'附件3 规划内'!A138</f>
        <v>137</v>
      </c>
      <c r="B48" t="str">
        <f>'附件3 规划内'!B138</f>
        <v>2017年袁坊乡毛庄村村内道路建设项目</v>
      </c>
      <c r="C48" t="str">
        <f>'附件3 规划内'!C138</f>
        <v>乡村振兴</v>
      </c>
      <c r="D48" t="str">
        <f>'附件3 规划内'!D138</f>
        <v>通村道路0.17公里</v>
      </c>
      <c r="E48">
        <f>'附件3 规划内'!E138</f>
        <v>3</v>
      </c>
      <c r="F48">
        <f>'附件3 规划内'!F138</f>
        <v>3</v>
      </c>
      <c r="G48">
        <f>'附件3 规划内'!G138</f>
        <v>0</v>
      </c>
      <c r="H48">
        <f>'附件3 规划内'!H138</f>
        <v>0</v>
      </c>
      <c r="I48" t="str">
        <f>'附件3 规划内'!I138</f>
        <v>完工</v>
      </c>
      <c r="J48">
        <f>'附件3 规划内'!J138</f>
        <v>3</v>
      </c>
      <c r="K48" t="str">
        <f>'附件3 规划内'!K138</f>
        <v/>
      </c>
      <c r="L48">
        <f>'附件3 规划内'!L138</f>
        <v>0</v>
      </c>
      <c r="M48" s="26">
        <f>'附件3 规划内'!M138</f>
        <v>44440</v>
      </c>
      <c r="N48" s="26">
        <f>'附件3 规划内'!N138</f>
        <v>44499</v>
      </c>
      <c r="O48" t="str">
        <f>'附件3 规划内'!O138</f>
        <v>市乡村振兴局</v>
      </c>
      <c r="P48" t="str">
        <f>'附件3 规划内'!P138</f>
        <v>祥符区</v>
      </c>
      <c r="Q48">
        <f>'附件3 规划内'!Q138</f>
        <v>0</v>
      </c>
      <c r="R48">
        <f>'附件3 规划内'!R138</f>
        <v>0</v>
      </c>
    </row>
    <row r="49" spans="1:18">
      <c r="A49">
        <f>'附件3 规划内'!A139</f>
        <v>138</v>
      </c>
      <c r="B49" t="str">
        <f>'附件3 规划内'!B139</f>
        <v>袁坊乡张吴寨村村内道路建设项目</v>
      </c>
      <c r="C49" t="str">
        <f>'附件3 规划内'!C139</f>
        <v>乡村振兴</v>
      </c>
      <c r="D49" t="str">
        <f>'附件3 规划内'!D139</f>
        <v>通村道路1公里</v>
      </c>
      <c r="E49">
        <f>'附件3 规划内'!E139</f>
        <v>10</v>
      </c>
      <c r="F49">
        <f>'附件3 规划内'!F139</f>
        <v>10</v>
      </c>
      <c r="G49">
        <f>'附件3 规划内'!G139</f>
        <v>0</v>
      </c>
      <c r="H49">
        <f>'附件3 规划内'!H139</f>
        <v>0</v>
      </c>
      <c r="I49" t="str">
        <f>'附件3 规划内'!I139</f>
        <v>完工</v>
      </c>
      <c r="J49">
        <f>'附件3 规划内'!J139</f>
        <v>10</v>
      </c>
      <c r="K49" t="str">
        <f>'附件3 规划内'!K139</f>
        <v/>
      </c>
      <c r="L49">
        <f>'附件3 规划内'!L139</f>
        <v>0</v>
      </c>
      <c r="M49" s="26">
        <f>'附件3 规划内'!M139</f>
        <v>44440</v>
      </c>
      <c r="N49" s="26">
        <f>'附件3 规划内'!N139</f>
        <v>44499</v>
      </c>
      <c r="O49" t="str">
        <f>'附件3 规划内'!O139</f>
        <v>市乡村振兴局</v>
      </c>
      <c r="P49" t="str">
        <f>'附件3 规划内'!P139</f>
        <v>祥符区</v>
      </c>
      <c r="Q49">
        <f>'附件3 规划内'!Q139</f>
        <v>0</v>
      </c>
      <c r="R49">
        <f>'附件3 规划内'!R139</f>
        <v>0</v>
      </c>
    </row>
    <row r="50" spans="1:18">
      <c r="A50">
        <f>'附件3 规划内'!A140</f>
        <v>139</v>
      </c>
      <c r="B50" t="str">
        <f>'附件3 规划内'!B140</f>
        <v>2017年袁坊乡付东村村内道路建设项目</v>
      </c>
      <c r="C50" t="str">
        <f>'附件3 规划内'!C140</f>
        <v>乡村振兴</v>
      </c>
      <c r="D50" t="str">
        <f>'附件3 规划内'!D140</f>
        <v>通村道路0.14公里</v>
      </c>
      <c r="E50">
        <f>'附件3 规划内'!E140</f>
        <v>2.5</v>
      </c>
      <c r="F50">
        <f>'附件3 规划内'!F140</f>
        <v>2.5</v>
      </c>
      <c r="G50">
        <f>'附件3 规划内'!G140</f>
        <v>0</v>
      </c>
      <c r="H50">
        <f>'附件3 规划内'!H140</f>
        <v>0</v>
      </c>
      <c r="I50" t="str">
        <f>'附件3 规划内'!I140</f>
        <v>完工</v>
      </c>
      <c r="J50">
        <f>'附件3 规划内'!J140</f>
        <v>2.5</v>
      </c>
      <c r="K50" t="str">
        <f>'附件3 规划内'!K140</f>
        <v/>
      </c>
      <c r="L50">
        <f>'附件3 规划内'!L140</f>
        <v>0</v>
      </c>
      <c r="M50" s="26">
        <f>'附件3 规划内'!M140</f>
        <v>44440</v>
      </c>
      <c r="N50" s="26">
        <f>'附件3 规划内'!N140</f>
        <v>44499</v>
      </c>
      <c r="O50" t="str">
        <f>'附件3 规划内'!O140</f>
        <v>市乡村振兴局</v>
      </c>
      <c r="P50" t="str">
        <f>'附件3 规划内'!P140</f>
        <v>祥符区</v>
      </c>
      <c r="Q50">
        <f>'附件3 规划内'!Q140</f>
        <v>0</v>
      </c>
      <c r="R50">
        <f>'附件3 规划内'!R140</f>
        <v>0</v>
      </c>
    </row>
    <row r="51" spans="1:18">
      <c r="A51">
        <f>'附件3 规划内'!A141</f>
        <v>140</v>
      </c>
      <c r="B51" t="str">
        <f>'附件3 规划内'!B141</f>
        <v>2018袁坊乡方庄村村内道路</v>
      </c>
      <c r="C51" t="str">
        <f>'附件3 规划内'!C141</f>
        <v>乡村振兴</v>
      </c>
      <c r="D51" t="str">
        <f>'附件3 规划内'!D141</f>
        <v>通村道路0.6公里</v>
      </c>
      <c r="E51">
        <f>'附件3 规划内'!E141</f>
        <v>1</v>
      </c>
      <c r="F51">
        <f>'附件3 规划内'!F141</f>
        <v>1</v>
      </c>
      <c r="G51">
        <f>'附件3 规划内'!G141</f>
        <v>0</v>
      </c>
      <c r="H51">
        <f>'附件3 规划内'!H141</f>
        <v>0</v>
      </c>
      <c r="I51" t="str">
        <f>'附件3 规划内'!I141</f>
        <v>完工</v>
      </c>
      <c r="J51">
        <f>'附件3 规划内'!J141</f>
        <v>1</v>
      </c>
      <c r="K51" t="str">
        <f>'附件3 规划内'!K141</f>
        <v/>
      </c>
      <c r="L51">
        <f>'附件3 规划内'!L141</f>
        <v>0</v>
      </c>
      <c r="M51" s="26">
        <f>'附件3 规划内'!M141</f>
        <v>44440</v>
      </c>
      <c r="N51" s="26">
        <f>'附件3 规划内'!N141</f>
        <v>44499</v>
      </c>
      <c r="O51" t="str">
        <f>'附件3 规划内'!O141</f>
        <v>市乡村振兴局</v>
      </c>
      <c r="P51" t="str">
        <f>'附件3 规划内'!P141</f>
        <v>祥符区</v>
      </c>
      <c r="Q51">
        <f>'附件3 规划内'!Q141</f>
        <v>0</v>
      </c>
      <c r="R51">
        <f>'附件3 规划内'!R141</f>
        <v>0</v>
      </c>
    </row>
    <row r="52" spans="1:18">
      <c r="A52">
        <f>'附件3 规划内'!A142</f>
        <v>141</v>
      </c>
      <c r="B52" t="str">
        <f>'附件3 规划内'!B142</f>
        <v>袁坊乡前孙富庄村内道路</v>
      </c>
      <c r="C52" t="str">
        <f>'附件3 规划内'!C142</f>
        <v>乡村振兴</v>
      </c>
      <c r="D52" t="str">
        <f>'附件3 规划内'!D142</f>
        <v>通村道路0.02公里</v>
      </c>
      <c r="E52">
        <f>'附件3 规划内'!E142</f>
        <v>0.08</v>
      </c>
      <c r="F52">
        <f>'附件3 规划内'!F142</f>
        <v>0.08</v>
      </c>
      <c r="G52">
        <f>'附件3 规划内'!G142</f>
        <v>0</v>
      </c>
      <c r="H52">
        <f>'附件3 规划内'!H142</f>
        <v>0</v>
      </c>
      <c r="I52" t="str">
        <f>'附件3 规划内'!I142</f>
        <v>完工</v>
      </c>
      <c r="J52">
        <f>'附件3 规划内'!J142</f>
        <v>0.08</v>
      </c>
      <c r="K52" t="str">
        <f>'附件3 规划内'!K142</f>
        <v/>
      </c>
      <c r="L52">
        <f>'附件3 规划内'!L142</f>
        <v>0</v>
      </c>
      <c r="M52" s="26">
        <f>'附件3 规划内'!M142</f>
        <v>44440</v>
      </c>
      <c r="N52" s="26">
        <f>'附件3 规划内'!N142</f>
        <v>44499</v>
      </c>
      <c r="O52" t="str">
        <f>'附件3 规划内'!O142</f>
        <v>市乡村振兴局</v>
      </c>
      <c r="P52" t="str">
        <f>'附件3 规划内'!P142</f>
        <v>祥符区</v>
      </c>
      <c r="Q52">
        <f>'附件3 规划内'!Q142</f>
        <v>0</v>
      </c>
      <c r="R52">
        <f>'附件3 规划内'!R142</f>
        <v>0</v>
      </c>
    </row>
    <row r="53" spans="1:18">
      <c r="A53">
        <f>'附件3 规划内'!A143</f>
        <v>142</v>
      </c>
      <c r="B53" t="str">
        <f>'附件3 规划内'!B143</f>
        <v>2018袁坊乡后孙富庄村内道路</v>
      </c>
      <c r="C53" t="str">
        <f>'附件3 规划内'!C143</f>
        <v>乡村振兴</v>
      </c>
      <c r="D53" t="str">
        <f>'附件3 规划内'!D143</f>
        <v>通村道路0.03公里</v>
      </c>
      <c r="E53">
        <f>'附件3 规划内'!E143</f>
        <v>0.4</v>
      </c>
      <c r="F53">
        <f>'附件3 规划内'!F143</f>
        <v>0.4</v>
      </c>
      <c r="G53">
        <f>'附件3 规划内'!G143</f>
        <v>0</v>
      </c>
      <c r="H53">
        <f>'附件3 规划内'!H143</f>
        <v>0</v>
      </c>
      <c r="I53" t="str">
        <f>'附件3 规划内'!I143</f>
        <v>完工</v>
      </c>
      <c r="J53">
        <f>'附件3 规划内'!J143</f>
        <v>0.4</v>
      </c>
      <c r="K53" t="str">
        <f>'附件3 规划内'!K143</f>
        <v/>
      </c>
      <c r="L53">
        <f>'附件3 规划内'!L143</f>
        <v>0</v>
      </c>
      <c r="M53" s="26">
        <f>'附件3 规划内'!M143</f>
        <v>44440</v>
      </c>
      <c r="N53" s="26">
        <f>'附件3 规划内'!N143</f>
        <v>44499</v>
      </c>
      <c r="O53" t="str">
        <f>'附件3 规划内'!O143</f>
        <v>市乡村振兴局</v>
      </c>
      <c r="P53" t="str">
        <f>'附件3 规划内'!P143</f>
        <v>祥符区</v>
      </c>
      <c r="Q53">
        <f>'附件3 规划内'!Q143</f>
        <v>0</v>
      </c>
      <c r="R53">
        <f>'附件3 规划内'!R143</f>
        <v>0</v>
      </c>
    </row>
    <row r="54" spans="1:18">
      <c r="A54">
        <f>'附件3 规划内'!A144</f>
        <v>143</v>
      </c>
      <c r="B54" t="str">
        <f>'附件3 规划内'!B144</f>
        <v>2019袁坊乡府君寺村贫困村提升工程村内道路</v>
      </c>
      <c r="C54" t="str">
        <f>'附件3 规划内'!C144</f>
        <v>乡村振兴</v>
      </c>
      <c r="D54" t="str">
        <f>'附件3 规划内'!D144</f>
        <v>通村道路0.12公里</v>
      </c>
      <c r="E54">
        <f>'附件3 规划内'!E144</f>
        <v>3</v>
      </c>
      <c r="F54">
        <f>'附件3 规划内'!F144</f>
        <v>3</v>
      </c>
      <c r="G54">
        <f>'附件3 规划内'!G144</f>
        <v>0</v>
      </c>
      <c r="H54">
        <f>'附件3 规划内'!H144</f>
        <v>0</v>
      </c>
      <c r="I54" t="str">
        <f>'附件3 规划内'!I144</f>
        <v>完工</v>
      </c>
      <c r="J54">
        <f>'附件3 规划内'!J144</f>
        <v>3</v>
      </c>
      <c r="K54" t="str">
        <f>'附件3 规划内'!K144</f>
        <v/>
      </c>
      <c r="L54">
        <f>'附件3 规划内'!L144</f>
        <v>0</v>
      </c>
      <c r="M54" s="26">
        <f>'附件3 规划内'!M144</f>
        <v>44440</v>
      </c>
      <c r="N54" s="26">
        <f>'附件3 规划内'!N144</f>
        <v>44499</v>
      </c>
      <c r="O54" t="str">
        <f>'附件3 规划内'!O144</f>
        <v>市乡村振兴局</v>
      </c>
      <c r="P54" t="str">
        <f>'附件3 规划内'!P144</f>
        <v>祥符区</v>
      </c>
      <c r="Q54">
        <f>'附件3 规划内'!Q144</f>
        <v>0</v>
      </c>
      <c r="R54">
        <f>'附件3 规划内'!R144</f>
        <v>0</v>
      </c>
    </row>
    <row r="55" spans="1:18">
      <c r="A55">
        <f>'附件3 规划内'!A145</f>
        <v>144</v>
      </c>
      <c r="B55" t="str">
        <f>'附件3 规划内'!B145</f>
        <v>杜良乡米砦村村内道路</v>
      </c>
      <c r="C55" t="str">
        <f>'附件3 规划内'!C145</f>
        <v>乡村振兴</v>
      </c>
      <c r="D55" t="str">
        <f>'附件3 规划内'!D145</f>
        <v>通村道路1公里</v>
      </c>
      <c r="E55">
        <f>'附件3 规划内'!E145</f>
        <v>5</v>
      </c>
      <c r="F55">
        <f>'附件3 规划内'!F145</f>
        <v>5</v>
      </c>
      <c r="G55">
        <f>'附件3 规划内'!G145</f>
        <v>0</v>
      </c>
      <c r="H55">
        <f>'附件3 规划内'!H145</f>
        <v>0</v>
      </c>
      <c r="I55" t="str">
        <f>'附件3 规划内'!I145</f>
        <v>完工</v>
      </c>
      <c r="J55">
        <f>'附件3 规划内'!J145</f>
        <v>5</v>
      </c>
      <c r="K55" t="str">
        <f>'附件3 规划内'!K145</f>
        <v/>
      </c>
      <c r="L55">
        <f>'附件3 规划内'!L145</f>
        <v>0</v>
      </c>
      <c r="M55" s="26">
        <f>'附件3 规划内'!M145</f>
        <v>44440</v>
      </c>
      <c r="N55" s="26">
        <f>'附件3 规划内'!N145</f>
        <v>44499</v>
      </c>
      <c r="O55" t="str">
        <f>'附件3 规划内'!O145</f>
        <v>市乡村振兴局</v>
      </c>
      <c r="P55" t="str">
        <f>'附件3 规划内'!P145</f>
        <v>祥符区</v>
      </c>
      <c r="Q55">
        <f>'附件3 规划内'!Q145</f>
        <v>0</v>
      </c>
      <c r="R55">
        <f>'附件3 规划内'!R145</f>
        <v>0</v>
      </c>
    </row>
    <row r="56" spans="1:18">
      <c r="A56">
        <f>'附件3 规划内'!A146</f>
        <v>145</v>
      </c>
      <c r="B56" t="str">
        <f>'附件3 规划内'!B146</f>
        <v>2018年西姜寨乡段木周村内道路</v>
      </c>
      <c r="C56" t="str">
        <f>'附件3 规划内'!C146</f>
        <v>乡村振兴</v>
      </c>
      <c r="D56" t="str">
        <f>'附件3 规划内'!D146</f>
        <v>通村道路5.33公里</v>
      </c>
      <c r="E56">
        <f>'附件3 规划内'!E146</f>
        <v>86.32</v>
      </c>
      <c r="F56">
        <f>'附件3 规划内'!F146</f>
        <v>86.32</v>
      </c>
      <c r="G56">
        <f>'附件3 规划内'!G146</f>
        <v>0</v>
      </c>
      <c r="H56">
        <f>'附件3 规划内'!H146</f>
        <v>0</v>
      </c>
      <c r="I56" t="str">
        <f>'附件3 规划内'!I146</f>
        <v>完工</v>
      </c>
      <c r="J56">
        <f>'附件3 规划内'!J146</f>
        <v>86.32</v>
      </c>
      <c r="K56" t="str">
        <f>'附件3 规划内'!K146</f>
        <v/>
      </c>
      <c r="L56">
        <f>'附件3 规划内'!L146</f>
        <v>0</v>
      </c>
      <c r="M56" s="26">
        <f>'附件3 规划内'!M146</f>
        <v>44440</v>
      </c>
      <c r="N56" s="26">
        <f>'附件3 规划内'!N146</f>
        <v>44499</v>
      </c>
      <c r="O56" t="str">
        <f>'附件3 规划内'!O146</f>
        <v>市乡村振兴局</v>
      </c>
      <c r="P56" t="str">
        <f>'附件3 规划内'!P146</f>
        <v>祥符区</v>
      </c>
      <c r="Q56">
        <f>'附件3 规划内'!Q146</f>
        <v>0</v>
      </c>
      <c r="R56">
        <f>'附件3 规划内'!R146</f>
        <v>0</v>
      </c>
    </row>
    <row r="57" spans="1:18">
      <c r="A57">
        <f>'附件3 规划内'!A147</f>
        <v>146</v>
      </c>
      <c r="B57" t="str">
        <f>'附件3 规划内'!B147</f>
        <v>2016年西姜寨乡李店村村内道路</v>
      </c>
      <c r="C57" t="str">
        <f>'附件3 规划内'!C147</f>
        <v>乡村振兴</v>
      </c>
      <c r="D57" t="str">
        <f>'附件3 规划内'!D147</f>
        <v>通村道路、下水道0.8公里、0.183公里</v>
      </c>
      <c r="E57">
        <f>'附件3 规划内'!E147</f>
        <v>50</v>
      </c>
      <c r="F57">
        <f>'附件3 规划内'!F147</f>
        <v>50</v>
      </c>
      <c r="G57">
        <f>'附件3 规划内'!G147</f>
        <v>0</v>
      </c>
      <c r="H57">
        <f>'附件3 规划内'!H147</f>
        <v>0</v>
      </c>
      <c r="I57" t="str">
        <f>'附件3 规划内'!I147</f>
        <v>完工</v>
      </c>
      <c r="J57">
        <f>'附件3 规划内'!J147</f>
        <v>50</v>
      </c>
      <c r="K57" t="str">
        <f>'附件3 规划内'!K147</f>
        <v/>
      </c>
      <c r="L57">
        <f>'附件3 规划内'!L147</f>
        <v>0</v>
      </c>
      <c r="M57" s="26">
        <f>'附件3 规划内'!M147</f>
        <v>44440</v>
      </c>
      <c r="N57" s="26">
        <f>'附件3 规划内'!N147</f>
        <v>44499</v>
      </c>
      <c r="O57" t="str">
        <f>'附件3 规划内'!O147</f>
        <v>市乡村振兴局</v>
      </c>
      <c r="P57" t="str">
        <f>'附件3 规划内'!P147</f>
        <v>祥符区</v>
      </c>
      <c r="Q57">
        <f>'附件3 规划内'!Q147</f>
        <v>0</v>
      </c>
      <c r="R57">
        <f>'附件3 规划内'!R147</f>
        <v>0</v>
      </c>
    </row>
    <row r="58" spans="1:18">
      <c r="A58">
        <f>'附件3 规划内'!A148</f>
        <v>147</v>
      </c>
      <c r="B58" t="str">
        <f>'附件3 规划内'!B148</f>
        <v>2016年西姜寨乡白庄村村内道路</v>
      </c>
      <c r="C58" t="str">
        <f>'附件3 规划内'!C148</f>
        <v>乡村振兴</v>
      </c>
      <c r="D58" t="str">
        <f>'附件3 规划内'!D148</f>
        <v>通村道路2.3公里</v>
      </c>
      <c r="E58">
        <f>'附件3 规划内'!E148</f>
        <v>46</v>
      </c>
      <c r="F58">
        <f>'附件3 规划内'!F148</f>
        <v>46</v>
      </c>
      <c r="G58">
        <f>'附件3 规划内'!G148</f>
        <v>0</v>
      </c>
      <c r="H58">
        <f>'附件3 规划内'!H148</f>
        <v>0</v>
      </c>
      <c r="I58" t="str">
        <f>'附件3 规划内'!I148</f>
        <v>完工</v>
      </c>
      <c r="J58">
        <f>'附件3 规划内'!J148</f>
        <v>46</v>
      </c>
      <c r="K58" t="str">
        <f>'附件3 规划内'!K148</f>
        <v/>
      </c>
      <c r="L58">
        <f>'附件3 规划内'!L148</f>
        <v>0</v>
      </c>
      <c r="M58" s="26">
        <f>'附件3 规划内'!M148</f>
        <v>44440</v>
      </c>
      <c r="N58" s="26">
        <f>'附件3 规划内'!N148</f>
        <v>44499</v>
      </c>
      <c r="O58" t="str">
        <f>'附件3 规划内'!O148</f>
        <v>市乡村振兴局</v>
      </c>
      <c r="P58" t="str">
        <f>'附件3 规划内'!P148</f>
        <v>祥符区</v>
      </c>
      <c r="Q58">
        <f>'附件3 规划内'!Q148</f>
        <v>0</v>
      </c>
      <c r="R58">
        <f>'附件3 规划内'!R148</f>
        <v>0</v>
      </c>
    </row>
    <row r="59" spans="1:18">
      <c r="A59">
        <f>'附件3 规划内'!A149</f>
        <v>148</v>
      </c>
      <c r="B59" t="str">
        <f>'附件3 规划内'!B149</f>
        <v>2018年市派第一书记专项扶贫刘店乡束庄村资金（路灯）</v>
      </c>
      <c r="C59" t="str">
        <f>'附件3 规划内'!C149</f>
        <v>乡村振兴</v>
      </c>
      <c r="D59" t="str">
        <f>'附件3 规划内'!D149</f>
        <v>路灯15盏</v>
      </c>
      <c r="E59">
        <f>'附件3 规划内'!E149</f>
        <v>1.5</v>
      </c>
      <c r="F59">
        <f>'附件3 规划内'!F149</f>
        <v>1.5</v>
      </c>
      <c r="G59">
        <f>'附件3 规划内'!G149</f>
        <v>0</v>
      </c>
      <c r="H59">
        <f>'附件3 规划内'!H149</f>
        <v>0</v>
      </c>
      <c r="I59" t="str">
        <f>'附件3 规划内'!I149</f>
        <v>完工</v>
      </c>
      <c r="J59">
        <f>'附件3 规划内'!J149</f>
        <v>1.5</v>
      </c>
      <c r="K59" t="str">
        <f>'附件3 规划内'!K149</f>
        <v/>
      </c>
      <c r="L59">
        <f>'附件3 规划内'!L149</f>
        <v>0</v>
      </c>
      <c r="M59" s="26">
        <f>'附件3 规划内'!M149</f>
        <v>44501</v>
      </c>
      <c r="N59" s="26">
        <f>'附件3 规划内'!N149</f>
        <v>44560</v>
      </c>
      <c r="O59" t="str">
        <f>'附件3 规划内'!O149</f>
        <v>市乡村振兴局</v>
      </c>
      <c r="P59" t="str">
        <f>'附件3 规划内'!P149</f>
        <v>祥符区</v>
      </c>
      <c r="Q59">
        <f>'附件3 规划内'!Q149</f>
        <v>0</v>
      </c>
      <c r="R59">
        <f>'附件3 规划内'!R149</f>
        <v>0</v>
      </c>
    </row>
    <row r="60" spans="1:18">
      <c r="A60">
        <f>'附件3 规划内'!A150</f>
        <v>149</v>
      </c>
      <c r="B60" t="str">
        <f>'附件3 规划内'!B150</f>
        <v>2017年袁坊乡付东村扶贫车间建设项目</v>
      </c>
      <c r="C60" t="str">
        <f>'附件3 规划内'!C150</f>
        <v>乡村振兴</v>
      </c>
      <c r="D60" t="str">
        <f>'附件3 规划内'!D150</f>
        <v>扶贫车间200平方</v>
      </c>
      <c r="E60">
        <f>'附件3 规划内'!E150</f>
        <v>5</v>
      </c>
      <c r="F60">
        <f>'附件3 规划内'!F150</f>
        <v>5</v>
      </c>
      <c r="G60">
        <f>'附件3 规划内'!G150</f>
        <v>0</v>
      </c>
      <c r="H60">
        <f>'附件3 规划内'!H150</f>
        <v>0</v>
      </c>
      <c r="I60" t="str">
        <f>'附件3 规划内'!I150</f>
        <v>完工</v>
      </c>
      <c r="J60">
        <f>'附件3 规划内'!J150</f>
        <v>5</v>
      </c>
      <c r="K60" t="str">
        <f>'附件3 规划内'!K150</f>
        <v/>
      </c>
      <c r="L60">
        <f>'附件3 规划内'!L150</f>
        <v>0</v>
      </c>
      <c r="M60" s="26">
        <f>'附件3 规划内'!M150</f>
        <v>44440</v>
      </c>
      <c r="N60" s="26">
        <f>'附件3 规划内'!N150</f>
        <v>44499</v>
      </c>
      <c r="O60" t="str">
        <f>'附件3 规划内'!O150</f>
        <v>市乡村振兴局</v>
      </c>
      <c r="P60" t="str">
        <f>'附件3 规划内'!P150</f>
        <v>祥符区</v>
      </c>
      <c r="Q60">
        <f>'附件3 规划内'!Q150</f>
        <v>0</v>
      </c>
      <c r="R60">
        <f>'附件3 规划内'!R150</f>
        <v>0</v>
      </c>
    </row>
    <row r="61" spans="1:18">
      <c r="A61">
        <f>'附件3 规划内'!A151</f>
        <v>150</v>
      </c>
      <c r="B61" t="str">
        <f>'附件3 规划内'!B151</f>
        <v>2017年兴隆乡李大河村扶贫车间建设项目</v>
      </c>
      <c r="C61" t="str">
        <f>'附件3 规划内'!C151</f>
        <v>乡村振兴</v>
      </c>
      <c r="D61" t="str">
        <f>'附件3 规划内'!D151</f>
        <v>扶贫车间15平方</v>
      </c>
      <c r="E61">
        <f>'附件3 规划内'!E151</f>
        <v>3.5</v>
      </c>
      <c r="F61">
        <f>'附件3 规划内'!F151</f>
        <v>3.5</v>
      </c>
      <c r="G61">
        <f>'附件3 规划内'!G151</f>
        <v>0</v>
      </c>
      <c r="H61">
        <f>'附件3 规划内'!H151</f>
        <v>0</v>
      </c>
      <c r="I61" t="str">
        <f>'附件3 规划内'!I151</f>
        <v>完工</v>
      </c>
      <c r="J61">
        <f>'附件3 规划内'!J151</f>
        <v>3.5</v>
      </c>
      <c r="K61" t="str">
        <f>'附件3 规划内'!K151</f>
        <v/>
      </c>
      <c r="L61">
        <f>'附件3 规划内'!L151</f>
        <v>0</v>
      </c>
      <c r="M61" s="26">
        <f>'附件3 规划内'!M151</f>
        <v>44440</v>
      </c>
      <c r="N61" s="26">
        <f>'附件3 规划内'!N151</f>
        <v>44499</v>
      </c>
      <c r="O61" t="str">
        <f>'附件3 规划内'!O151</f>
        <v>市乡村振兴局</v>
      </c>
      <c r="P61" t="str">
        <f>'附件3 规划内'!P151</f>
        <v>祥符区</v>
      </c>
      <c r="Q61">
        <f>'附件3 规划内'!Q151</f>
        <v>0</v>
      </c>
      <c r="R61">
        <f>'附件3 规划内'!R151</f>
        <v>0</v>
      </c>
    </row>
    <row r="62" spans="1:18">
      <c r="A62">
        <f>'附件3 规划内'!A152</f>
        <v>151</v>
      </c>
      <c r="B62" t="str">
        <f>'附件3 规划内'!B152</f>
        <v>2017年袁坊乡毛庄村扶贫车间建设项目</v>
      </c>
      <c r="C62" t="str">
        <f>'附件3 规划内'!C152</f>
        <v>乡村振兴</v>
      </c>
      <c r="D62" t="str">
        <f>'附件3 规划内'!D152</f>
        <v>扶贫车间200平方</v>
      </c>
      <c r="E62">
        <f>'附件3 规划内'!E152</f>
        <v>5</v>
      </c>
      <c r="F62">
        <f>'附件3 规划内'!F152</f>
        <v>5</v>
      </c>
      <c r="G62">
        <f>'附件3 规划内'!G152</f>
        <v>0</v>
      </c>
      <c r="H62">
        <f>'附件3 规划内'!H152</f>
        <v>0</v>
      </c>
      <c r="I62" t="str">
        <f>'附件3 规划内'!I152</f>
        <v>完工</v>
      </c>
      <c r="J62">
        <f>'附件3 规划内'!J152</f>
        <v>5</v>
      </c>
      <c r="K62" t="str">
        <f>'附件3 规划内'!K152</f>
        <v/>
      </c>
      <c r="L62">
        <f>'附件3 规划内'!L152</f>
        <v>0</v>
      </c>
      <c r="M62" s="26">
        <f>'附件3 规划内'!M152</f>
        <v>44440</v>
      </c>
      <c r="N62" s="26">
        <f>'附件3 规划内'!N152</f>
        <v>44499</v>
      </c>
      <c r="O62" t="str">
        <f>'附件3 规划内'!O152</f>
        <v>市乡村振兴局</v>
      </c>
      <c r="P62" t="str">
        <f>'附件3 规划内'!P152</f>
        <v>祥符区</v>
      </c>
      <c r="Q62">
        <f>'附件3 规划内'!Q152</f>
        <v>0</v>
      </c>
      <c r="R62">
        <f>'附件3 规划内'!R152</f>
        <v>0</v>
      </c>
    </row>
    <row r="63" spans="1:18">
      <c r="A63">
        <f>'附件3 规划内'!A153</f>
        <v>152</v>
      </c>
      <c r="B63" t="str">
        <f>'附件3 规划内'!B153</f>
        <v>2017年八里湾镇闫呈岗村到户增收项目</v>
      </c>
      <c r="C63" t="str">
        <f>'附件3 规划内'!C153</f>
        <v>乡村振兴</v>
      </c>
      <c r="D63" t="str">
        <f>'附件3 规划内'!D153</f>
        <v>蔬菜大棚2个</v>
      </c>
      <c r="E63">
        <f>'附件3 规划内'!E153</f>
        <v>0.3</v>
      </c>
      <c r="F63">
        <f>'附件3 规划内'!F153</f>
        <v>0.3</v>
      </c>
      <c r="G63">
        <f>'附件3 规划内'!G153</f>
        <v>0</v>
      </c>
      <c r="H63">
        <f>'附件3 规划内'!H153</f>
        <v>0</v>
      </c>
      <c r="I63" t="str">
        <f>'附件3 规划内'!I153</f>
        <v>完工</v>
      </c>
      <c r="J63">
        <f>'附件3 规划内'!J153</f>
        <v>0.3</v>
      </c>
      <c r="K63" t="str">
        <f>'附件3 规划内'!K153</f>
        <v/>
      </c>
      <c r="L63">
        <f>'附件3 规划内'!L153</f>
        <v>0</v>
      </c>
      <c r="M63" s="26">
        <f>'附件3 规划内'!M153</f>
        <v>44440</v>
      </c>
      <c r="N63" s="26">
        <f>'附件3 规划内'!N153</f>
        <v>44499</v>
      </c>
      <c r="O63" t="str">
        <f>'附件3 规划内'!O153</f>
        <v>市乡村振兴局</v>
      </c>
      <c r="P63" t="str">
        <f>'附件3 规划内'!P153</f>
        <v>祥符区</v>
      </c>
      <c r="Q63">
        <f>'附件3 规划内'!Q153</f>
        <v>0</v>
      </c>
      <c r="R63">
        <f>'附件3 规划内'!R153</f>
        <v>0</v>
      </c>
    </row>
    <row r="64" spans="1:18">
      <c r="A64">
        <f>'附件3 规划内'!A154</f>
        <v>153</v>
      </c>
      <c r="B64" t="str">
        <f>'附件3 规划内'!B154</f>
        <v>2019年罗王乡翟庄村蔬菜大棚建设项目</v>
      </c>
      <c r="C64" t="str">
        <f>'附件3 规划内'!C154</f>
        <v>乡村振兴</v>
      </c>
      <c r="D64" t="str">
        <f>'附件3 规划内'!D154</f>
        <v>蔬菜大棚2个</v>
      </c>
      <c r="E64">
        <f>'附件3 规划内'!E154</f>
        <v>1</v>
      </c>
      <c r="F64">
        <f>'附件3 规划内'!F154</f>
        <v>1</v>
      </c>
      <c r="G64">
        <f>'附件3 规划内'!G154</f>
        <v>0</v>
      </c>
      <c r="H64">
        <f>'附件3 规划内'!H154</f>
        <v>0</v>
      </c>
      <c r="I64" t="str">
        <f>'附件3 规划内'!I154</f>
        <v>完工</v>
      </c>
      <c r="J64">
        <f>'附件3 规划内'!J154</f>
        <v>1</v>
      </c>
      <c r="K64" t="str">
        <f>'附件3 规划内'!K154</f>
        <v/>
      </c>
      <c r="L64">
        <f>'附件3 规划内'!L154</f>
        <v>0</v>
      </c>
      <c r="M64" s="26">
        <f>'附件3 规划内'!M154</f>
        <v>44501</v>
      </c>
      <c r="N64" s="26">
        <f>'附件3 规划内'!N154</f>
        <v>44560</v>
      </c>
      <c r="O64" t="str">
        <f>'附件3 规划内'!O154</f>
        <v>市乡村振兴局</v>
      </c>
      <c r="P64" t="str">
        <f>'附件3 规划内'!P154</f>
        <v>祥符区</v>
      </c>
      <c r="Q64">
        <f>'附件3 规划内'!Q154</f>
        <v>0</v>
      </c>
      <c r="R64">
        <f>'附件3 规划内'!R154</f>
        <v>0</v>
      </c>
    </row>
    <row r="65" spans="1:18">
      <c r="A65">
        <f>'附件3 规划内'!A155</f>
        <v>154</v>
      </c>
      <c r="B65" t="str">
        <f>'附件3 规划内'!B155</f>
        <v>2016年刘店村到户增收项目</v>
      </c>
      <c r="C65" t="str">
        <f>'附件3 规划内'!C155</f>
        <v>乡村振兴</v>
      </c>
      <c r="D65" t="str">
        <f>'附件3 规划内'!D155</f>
        <v>蔬菜大棚15个</v>
      </c>
      <c r="E65">
        <f>'附件3 规划内'!E155</f>
        <v>58</v>
      </c>
      <c r="F65">
        <f>'附件3 规划内'!F155</f>
        <v>58</v>
      </c>
      <c r="G65">
        <f>'附件3 规划内'!G155</f>
        <v>0</v>
      </c>
      <c r="H65">
        <f>'附件3 规划内'!H155</f>
        <v>0</v>
      </c>
      <c r="I65" t="str">
        <f>'附件3 规划内'!I155</f>
        <v>完工</v>
      </c>
      <c r="J65">
        <f>'附件3 规划内'!J155</f>
        <v>58</v>
      </c>
      <c r="K65" t="str">
        <f>'附件3 规划内'!K155</f>
        <v/>
      </c>
      <c r="L65">
        <f>'附件3 规划内'!L155</f>
        <v>0</v>
      </c>
      <c r="M65" s="26">
        <f>'附件3 规划内'!M155</f>
        <v>44501</v>
      </c>
      <c r="N65" s="26">
        <f>'附件3 规划内'!N155</f>
        <v>44560</v>
      </c>
      <c r="O65" t="str">
        <f>'附件3 规划内'!O155</f>
        <v>市乡村振兴局</v>
      </c>
      <c r="P65" t="str">
        <f>'附件3 规划内'!P155</f>
        <v>祥符区</v>
      </c>
      <c r="Q65">
        <f>'附件3 规划内'!Q155</f>
        <v>0</v>
      </c>
      <c r="R65">
        <f>'附件3 规划内'!R155</f>
        <v>0</v>
      </c>
    </row>
    <row r="66" spans="1:18">
      <c r="A66">
        <f>'附件3 规划内'!A156</f>
        <v>155</v>
      </c>
      <c r="B66" t="str">
        <f>'附件3 规划内'!B156</f>
        <v>2020年范村乡传里寨村蔬菜大棚建设项目</v>
      </c>
      <c r="C66" t="str">
        <f>'附件3 规划内'!C156</f>
        <v>乡村振兴</v>
      </c>
      <c r="D66" t="str">
        <f>'附件3 规划内'!D156</f>
        <v>蔬菜大棚7个</v>
      </c>
      <c r="E66">
        <f>'附件3 规划内'!E156</f>
        <v>15</v>
      </c>
      <c r="F66">
        <f>'附件3 规划内'!F156</f>
        <v>15</v>
      </c>
      <c r="G66">
        <f>'附件3 规划内'!G156</f>
        <v>0</v>
      </c>
      <c r="H66">
        <f>'附件3 规划内'!H156</f>
        <v>0</v>
      </c>
      <c r="I66" t="str">
        <f>'附件3 规划内'!I156</f>
        <v>完工</v>
      </c>
      <c r="J66">
        <f>'附件3 规划内'!J156</f>
        <v>15</v>
      </c>
      <c r="K66" t="str">
        <f>'附件3 规划内'!K156</f>
        <v/>
      </c>
      <c r="L66">
        <f>'附件3 规划内'!L156</f>
        <v>0</v>
      </c>
      <c r="M66" s="26">
        <f>'附件3 规划内'!M156</f>
        <v>44470</v>
      </c>
      <c r="N66" s="26">
        <f>'附件3 规划内'!N156</f>
        <v>44560</v>
      </c>
      <c r="O66" t="str">
        <f>'附件3 规划内'!O156</f>
        <v>市乡村振兴局</v>
      </c>
      <c r="P66" t="str">
        <f>'附件3 规划内'!P156</f>
        <v>祥符区</v>
      </c>
      <c r="Q66">
        <f>'附件3 规划内'!Q156</f>
        <v>0</v>
      </c>
      <c r="R66">
        <f>'附件3 规划内'!R156</f>
        <v>0</v>
      </c>
    </row>
    <row r="67" spans="1:18">
      <c r="A67">
        <f>'附件3 规划内'!A157</f>
        <v>156</v>
      </c>
      <c r="B67" t="str">
        <f>'附件3 规划内'!B157</f>
        <v>尉氏县大马乡八里庙村种植花生、养鸡产业扶持奖补项目</v>
      </c>
      <c r="C67" t="str">
        <f>'附件3 规划内'!C157</f>
        <v>乡村振兴</v>
      </c>
      <c r="D67" t="str">
        <f>'附件3 规划内'!D157</f>
        <v>修复地基1000平方，裂缝100米。</v>
      </c>
      <c r="E67">
        <f>'附件3 规划内'!E157</f>
        <v>3</v>
      </c>
      <c r="F67">
        <f>'附件3 规划内'!F157</f>
        <v>3</v>
      </c>
      <c r="G67">
        <f>'附件3 规划内'!G157</f>
        <v>0</v>
      </c>
      <c r="H67">
        <f>'附件3 规划内'!H157</f>
        <v>0</v>
      </c>
      <c r="I67" t="str">
        <f>'附件3 规划内'!I157</f>
        <v>完工</v>
      </c>
      <c r="J67">
        <f>'附件3 规划内'!J157</f>
        <v>3</v>
      </c>
      <c r="K67" t="str">
        <f>'附件3 规划内'!K157</f>
        <v/>
      </c>
      <c r="L67">
        <f>'附件3 规划内'!L157</f>
        <v>0</v>
      </c>
      <c r="M67" s="26">
        <f>'附件3 规划内'!M157</f>
        <v>44440</v>
      </c>
      <c r="N67" s="26">
        <f>'附件3 规划内'!N157</f>
        <v>44499</v>
      </c>
      <c r="O67" t="str">
        <f>'附件3 规划内'!O157</f>
        <v>市乡村振兴局</v>
      </c>
      <c r="P67" t="str">
        <f>'附件3 规划内'!P157</f>
        <v>尉氏县</v>
      </c>
      <c r="Q67">
        <f>'附件3 规划内'!Q157</f>
        <v>0</v>
      </c>
      <c r="R67">
        <f>'附件3 规划内'!R157</f>
        <v>0</v>
      </c>
    </row>
    <row r="68" spans="1:18">
      <c r="A68">
        <f>'附件3 规划内'!A158</f>
        <v>157</v>
      </c>
      <c r="B68" t="str">
        <f>'附件3 规划内'!B158</f>
        <v>2018年朱曲镇黄湖村扶贫车间项目</v>
      </c>
      <c r="C68" t="str">
        <f>'附件3 规划内'!C158</f>
        <v>乡村振兴</v>
      </c>
      <c r="D68" t="str">
        <f>'附件3 规划内'!D158</f>
        <v>修复地基下沉，重建围墙倒塌30米</v>
      </c>
      <c r="E68">
        <f>'附件3 规划内'!E158</f>
        <v>4.98</v>
      </c>
      <c r="F68">
        <f>'附件3 规划内'!F158</f>
        <v>4.98</v>
      </c>
      <c r="G68">
        <f>'附件3 规划内'!G158</f>
        <v>0</v>
      </c>
      <c r="H68">
        <f>'附件3 规划内'!H158</f>
        <v>0</v>
      </c>
      <c r="I68" t="str">
        <f>'附件3 规划内'!I158</f>
        <v>完工</v>
      </c>
      <c r="J68">
        <f>'附件3 规划内'!J158</f>
        <v>4.98</v>
      </c>
      <c r="K68" t="str">
        <f>'附件3 规划内'!K158</f>
        <v/>
      </c>
      <c r="L68">
        <f>'附件3 规划内'!L158</f>
        <v>0</v>
      </c>
      <c r="M68" s="26">
        <f>'附件3 规划内'!M158</f>
        <v>44440</v>
      </c>
      <c r="N68" s="26">
        <f>'附件3 规划内'!N158</f>
        <v>44499</v>
      </c>
      <c r="O68" t="str">
        <f>'附件3 规划内'!O158</f>
        <v>市乡村振兴局</v>
      </c>
      <c r="P68" t="str">
        <f>'附件3 规划内'!P158</f>
        <v>尉氏县</v>
      </c>
      <c r="Q68">
        <f>'附件3 规划内'!Q158</f>
        <v>0</v>
      </c>
      <c r="R68">
        <f>'附件3 规划内'!R158</f>
        <v>0</v>
      </c>
    </row>
    <row r="69" spans="1:18">
      <c r="A69">
        <f>'附件3 规划内'!A159</f>
        <v>158</v>
      </c>
      <c r="B69" t="str">
        <f>'附件3 规划内'!B159</f>
        <v>2018朱曲镇黄湖村基础设施建设项目</v>
      </c>
      <c r="C69" t="str">
        <f>'附件3 规划内'!C159</f>
        <v>乡村振兴</v>
      </c>
      <c r="D69" t="str">
        <f>'附件3 规划内'!D159</f>
        <v>路面修复</v>
      </c>
      <c r="E69">
        <f>'附件3 规划内'!E159</f>
        <v>37.8794</v>
      </c>
      <c r="F69">
        <f>'附件3 规划内'!F159</f>
        <v>37.8794</v>
      </c>
      <c r="G69">
        <f>'附件3 规划内'!G159</f>
        <v>0</v>
      </c>
      <c r="H69">
        <f>'附件3 规划内'!H159</f>
        <v>0</v>
      </c>
      <c r="I69" t="str">
        <f>'附件3 规划内'!I159</f>
        <v>完工</v>
      </c>
      <c r="J69">
        <f>'附件3 规划内'!J159</f>
        <v>37.8794</v>
      </c>
      <c r="K69" t="str">
        <f>'附件3 规划内'!K159</f>
        <v/>
      </c>
      <c r="L69">
        <f>'附件3 规划内'!L159</f>
        <v>0</v>
      </c>
      <c r="M69" s="26">
        <f>'附件3 规划内'!M159</f>
        <v>44440</v>
      </c>
      <c r="N69" s="26">
        <f>'附件3 规划内'!N159</f>
        <v>44499</v>
      </c>
      <c r="O69" t="str">
        <f>'附件3 规划内'!O159</f>
        <v>市乡村振兴局</v>
      </c>
      <c r="P69" t="str">
        <f>'附件3 规划内'!P159</f>
        <v>尉氏县</v>
      </c>
      <c r="Q69">
        <f>'附件3 规划内'!Q159</f>
        <v>0</v>
      </c>
      <c r="R69">
        <f>'附件3 规划内'!R159</f>
        <v>0</v>
      </c>
    </row>
    <row r="70" spans="1:18">
      <c r="A70">
        <f>'附件3 规划内'!A160</f>
        <v>159</v>
      </c>
      <c r="B70" t="str">
        <f>'附件3 规划内'!B160</f>
        <v>2017南曹乡中山村扶贫车间</v>
      </c>
      <c r="C70" t="str">
        <f>'附件3 规划内'!C160</f>
        <v>乡村振兴</v>
      </c>
      <c r="D70" t="str">
        <f>'附件3 规划内'!D160</f>
        <v>室内地坪修复500平方，车间地表刷漆500平方</v>
      </c>
      <c r="E70">
        <f>'附件3 规划内'!E160</f>
        <v>10</v>
      </c>
      <c r="F70">
        <f>'附件3 规划内'!F160</f>
        <v>10</v>
      </c>
      <c r="G70">
        <f>'附件3 规划内'!G160</f>
        <v>0</v>
      </c>
      <c r="H70">
        <f>'附件3 规划内'!H160</f>
        <v>0</v>
      </c>
      <c r="I70" t="str">
        <f>'附件3 规划内'!I160</f>
        <v>完工</v>
      </c>
      <c r="J70">
        <f>'附件3 规划内'!J160</f>
        <v>10</v>
      </c>
      <c r="K70" t="str">
        <f>'附件3 规划内'!K160</f>
        <v/>
      </c>
      <c r="L70">
        <f>'附件3 规划内'!L160</f>
        <v>0</v>
      </c>
      <c r="M70" s="26">
        <f>'附件3 规划内'!M160</f>
        <v>44440</v>
      </c>
      <c r="N70" s="26">
        <f>'附件3 规划内'!N160</f>
        <v>44499</v>
      </c>
      <c r="O70" t="str">
        <f>'附件3 规划内'!O160</f>
        <v>市乡村振兴局</v>
      </c>
      <c r="P70" t="str">
        <f>'附件3 规划内'!P160</f>
        <v>尉氏县</v>
      </c>
      <c r="Q70">
        <f>'附件3 规划内'!Q160</f>
        <v>0</v>
      </c>
      <c r="R70">
        <f>'附件3 规划内'!R160</f>
        <v>0</v>
      </c>
    </row>
    <row r="71" spans="1:18">
      <c r="A71">
        <f>'附件3 规划内'!A161</f>
        <v>160</v>
      </c>
      <c r="B71" t="str">
        <f>'附件3 规划内'!B161</f>
        <v>2017南曹乡砖楼村扶贫车间</v>
      </c>
      <c r="C71" t="str">
        <f>'附件3 规划内'!C161</f>
        <v>乡村振兴</v>
      </c>
      <c r="D71" t="str">
        <f>'附件3 规划内'!D161</f>
        <v>彩钢石棉瓦房顶修复60平方米</v>
      </c>
      <c r="E71">
        <f>'附件3 规划内'!E161</f>
        <v>7.2</v>
      </c>
      <c r="F71">
        <f>'附件3 规划内'!F161</f>
        <v>7.2</v>
      </c>
      <c r="G71">
        <f>'附件3 规划内'!G161</f>
        <v>0</v>
      </c>
      <c r="H71">
        <f>'附件3 规划内'!H161</f>
        <v>0</v>
      </c>
      <c r="I71" t="str">
        <f>'附件3 规划内'!I161</f>
        <v>完工</v>
      </c>
      <c r="J71">
        <f>'附件3 规划内'!J161</f>
        <v>7.2</v>
      </c>
      <c r="K71" t="str">
        <f>'附件3 规划内'!K161</f>
        <v/>
      </c>
      <c r="L71">
        <f>'附件3 规划内'!L161</f>
        <v>0</v>
      </c>
      <c r="M71" s="26">
        <f>'附件3 规划内'!M161</f>
        <v>44440</v>
      </c>
      <c r="N71" s="26">
        <f>'附件3 规划内'!N161</f>
        <v>44499</v>
      </c>
      <c r="O71" t="str">
        <f>'附件3 规划内'!O161</f>
        <v>市乡村振兴局</v>
      </c>
      <c r="P71" t="str">
        <f>'附件3 规划内'!P161</f>
        <v>尉氏县</v>
      </c>
      <c r="Q71">
        <f>'附件3 规划内'!Q161</f>
        <v>0</v>
      </c>
      <c r="R71">
        <f>'附件3 规划内'!R161</f>
        <v>0</v>
      </c>
    </row>
    <row r="72" spans="1:18">
      <c r="A72">
        <f>'附件3 规划内'!A162</f>
        <v>161</v>
      </c>
      <c r="B72" t="str">
        <f>'附件3 规划内'!B162</f>
        <v>南曹乡蒋沟村2019年度村内道路建设项目</v>
      </c>
      <c r="C72" t="str">
        <f>'附件3 规划内'!C162</f>
        <v>乡村振兴</v>
      </c>
      <c r="D72" t="str">
        <f>'附件3 规划内'!D162</f>
        <v>蒋沟村维修路基、路面1000米4000平方米</v>
      </c>
      <c r="E72">
        <f>'附件3 规划内'!E162</f>
        <v>11.6552</v>
      </c>
      <c r="F72">
        <f>'附件3 规划内'!F162</f>
        <v>11.6552</v>
      </c>
      <c r="G72">
        <f>'附件3 规划内'!G162</f>
        <v>0</v>
      </c>
      <c r="H72">
        <f>'附件3 规划内'!H162</f>
        <v>0</v>
      </c>
      <c r="I72" t="str">
        <f>'附件3 规划内'!I162</f>
        <v>完工</v>
      </c>
      <c r="J72">
        <f>'附件3 规划内'!J162</f>
        <v>11.6552</v>
      </c>
      <c r="K72" t="str">
        <f>'附件3 规划内'!K162</f>
        <v/>
      </c>
      <c r="L72">
        <f>'附件3 规划内'!L162</f>
        <v>0</v>
      </c>
      <c r="M72" s="26">
        <f>'附件3 规划内'!M162</f>
        <v>44440</v>
      </c>
      <c r="N72" s="26">
        <f>'附件3 规划内'!N162</f>
        <v>44499</v>
      </c>
      <c r="O72" t="str">
        <f>'附件3 规划内'!O162</f>
        <v>市乡村振兴局</v>
      </c>
      <c r="P72" t="str">
        <f>'附件3 规划内'!P162</f>
        <v>尉氏县</v>
      </c>
      <c r="Q72">
        <f>'附件3 规划内'!Q162</f>
        <v>0</v>
      </c>
      <c r="R72">
        <f>'附件3 规划内'!R162</f>
        <v>0</v>
      </c>
    </row>
    <row r="73" spans="1:18">
      <c r="A73">
        <f>'附件3 规划内'!A163</f>
        <v>162</v>
      </c>
      <c r="B73" t="str">
        <f>'附件3 规划内'!B163</f>
        <v>南曹乡蒋沟村2014年村内道路建设项目</v>
      </c>
      <c r="C73" t="str">
        <f>'附件3 规划内'!C163</f>
        <v>乡村振兴</v>
      </c>
      <c r="D73">
        <f>'附件3 规划内'!D163</f>
        <v>0</v>
      </c>
      <c r="E73">
        <f>'附件3 规划内'!E163</f>
        <v>46.6208</v>
      </c>
      <c r="F73">
        <f>'附件3 规划内'!F163</f>
        <v>46.6208</v>
      </c>
      <c r="G73">
        <f>'附件3 规划内'!G163</f>
        <v>0</v>
      </c>
      <c r="H73">
        <f>'附件3 规划内'!H163</f>
        <v>0</v>
      </c>
      <c r="I73" t="str">
        <f>'附件3 规划内'!I163</f>
        <v>完工</v>
      </c>
      <c r="J73">
        <f>'附件3 规划内'!J163</f>
        <v>46.6208</v>
      </c>
      <c r="K73" t="str">
        <f>'附件3 规划内'!K163</f>
        <v/>
      </c>
      <c r="L73">
        <f>'附件3 规划内'!L163</f>
        <v>0</v>
      </c>
      <c r="M73" s="26">
        <f>'附件3 规划内'!M163</f>
        <v>44440</v>
      </c>
      <c r="N73" s="26">
        <f>'附件3 规划内'!N163</f>
        <v>44499</v>
      </c>
      <c r="O73" t="str">
        <f>'附件3 规划内'!O163</f>
        <v>市乡村振兴局</v>
      </c>
      <c r="P73" t="str">
        <f>'附件3 规划内'!P163</f>
        <v>尉氏县</v>
      </c>
      <c r="Q73">
        <f>'附件3 规划内'!Q163</f>
        <v>0</v>
      </c>
      <c r="R73">
        <f>'附件3 规划内'!R163</f>
        <v>0</v>
      </c>
    </row>
    <row r="74" spans="1:18">
      <c r="A74">
        <f>'附件3 规划内'!A164</f>
        <v>163</v>
      </c>
      <c r="B74" t="str">
        <f>'附件3 规划内'!B164</f>
        <v>2019年大桥乡产业发展项目周庄村森簏服饰</v>
      </c>
      <c r="C74" t="str">
        <f>'附件3 规划内'!C164</f>
        <v>乡村振兴</v>
      </c>
      <c r="D74" t="str">
        <f>'附件3 规划内'!D164</f>
        <v>修复全自动裁床机1台；修复烫熨机一台；修复塌陷墙体330平方米，地面120平方米，窗户11个。</v>
      </c>
      <c r="E74">
        <f>'附件3 规划内'!E164</f>
        <v>3</v>
      </c>
      <c r="F74">
        <f>'附件3 规划内'!F164</f>
        <v>3</v>
      </c>
      <c r="G74">
        <f>'附件3 规划内'!G164</f>
        <v>0</v>
      </c>
      <c r="H74">
        <f>'附件3 规划内'!H164</f>
        <v>0</v>
      </c>
      <c r="I74" t="str">
        <f>'附件3 规划内'!I164</f>
        <v>完工</v>
      </c>
      <c r="J74">
        <f>'附件3 规划内'!J164</f>
        <v>3</v>
      </c>
      <c r="K74" t="str">
        <f>'附件3 规划内'!K164</f>
        <v/>
      </c>
      <c r="L74">
        <f>'附件3 规划内'!L164</f>
        <v>0</v>
      </c>
      <c r="M74" s="26">
        <f>'附件3 规划内'!M164</f>
        <v>44440</v>
      </c>
      <c r="N74" s="26">
        <f>'附件3 规划内'!N164</f>
        <v>44499</v>
      </c>
      <c r="O74" t="str">
        <f>'附件3 规划内'!O164</f>
        <v>市乡村振兴局</v>
      </c>
      <c r="P74" t="str">
        <f>'附件3 规划内'!P164</f>
        <v>尉氏县</v>
      </c>
      <c r="Q74">
        <f>'附件3 规划内'!Q164</f>
        <v>0</v>
      </c>
      <c r="R74">
        <f>'附件3 规划内'!R164</f>
        <v>0</v>
      </c>
    </row>
    <row r="75" spans="1:18">
      <c r="A75">
        <f>'附件3 规划内'!A165</f>
        <v>164</v>
      </c>
      <c r="B75" t="str">
        <f>'附件3 规划内'!B165</f>
        <v>2017年大桥乡岗刘村基础设施建设项目</v>
      </c>
      <c r="C75" t="str">
        <f>'附件3 规划内'!C165</f>
        <v>乡村振兴</v>
      </c>
      <c r="D75" t="str">
        <f>'附件3 规划内'!D165</f>
        <v>修复路基</v>
      </c>
      <c r="E75">
        <f>'附件3 规划内'!E165</f>
        <v>1.631728</v>
      </c>
      <c r="F75">
        <f>'附件3 规划内'!F165</f>
        <v>1.631728</v>
      </c>
      <c r="G75">
        <f>'附件3 规划内'!G165</f>
        <v>0</v>
      </c>
      <c r="H75">
        <f>'附件3 规划内'!H165</f>
        <v>0</v>
      </c>
      <c r="I75" t="str">
        <f>'附件3 规划内'!I165</f>
        <v>完工</v>
      </c>
      <c r="J75">
        <f>'附件3 规划内'!J165</f>
        <v>1.631728</v>
      </c>
      <c r="K75" t="str">
        <f>'附件3 规划内'!K165</f>
        <v/>
      </c>
      <c r="L75">
        <f>'附件3 规划内'!L165</f>
        <v>0</v>
      </c>
      <c r="M75" s="26">
        <f>'附件3 规划内'!M165</f>
        <v>44440</v>
      </c>
      <c r="N75" s="26">
        <f>'附件3 规划内'!N165</f>
        <v>44499</v>
      </c>
      <c r="O75" t="str">
        <f>'附件3 规划内'!O165</f>
        <v>市乡村振兴局</v>
      </c>
      <c r="P75" t="str">
        <f>'附件3 规划内'!P165</f>
        <v>尉氏县</v>
      </c>
      <c r="Q75">
        <f>'附件3 规划内'!Q165</f>
        <v>0</v>
      </c>
      <c r="R75">
        <f>'附件3 规划内'!R165</f>
        <v>0</v>
      </c>
    </row>
    <row r="76" spans="1:18">
      <c r="A76">
        <f>'附件3 规划内'!A166</f>
        <v>165</v>
      </c>
      <c r="B76" t="str">
        <f>'附件3 规划内'!B166</f>
        <v>2017年度小陈乡靳老村乡村道路建设项目</v>
      </c>
      <c r="C76" t="str">
        <f>'附件3 规划内'!C166</f>
        <v>乡村振兴</v>
      </c>
      <c r="D76" t="str">
        <f>'附件3 规划内'!D166</f>
        <v>修复路基、路面100平方米</v>
      </c>
      <c r="E76">
        <f>'附件3 规划内'!E166</f>
        <v>1.5</v>
      </c>
      <c r="F76">
        <f>'附件3 规划内'!F166</f>
        <v>1.5</v>
      </c>
      <c r="G76">
        <f>'附件3 规划内'!G166</f>
        <v>0</v>
      </c>
      <c r="H76">
        <f>'附件3 规划内'!H166</f>
        <v>0</v>
      </c>
      <c r="I76" t="str">
        <f>'附件3 规划内'!I166</f>
        <v>完工</v>
      </c>
      <c r="J76">
        <f>'附件3 规划内'!J166</f>
        <v>1.5</v>
      </c>
      <c r="K76" t="str">
        <f>'附件3 规划内'!K166</f>
        <v/>
      </c>
      <c r="L76">
        <f>'附件3 规划内'!L166</f>
        <v>0</v>
      </c>
      <c r="M76" s="26">
        <f>'附件3 规划内'!M166</f>
        <v>44440</v>
      </c>
      <c r="N76" s="26">
        <f>'附件3 规划内'!N166</f>
        <v>44499</v>
      </c>
      <c r="O76" t="str">
        <f>'附件3 规划内'!O166</f>
        <v>市乡村振兴局</v>
      </c>
      <c r="P76" t="str">
        <f>'附件3 规划内'!P166</f>
        <v>尉氏县</v>
      </c>
      <c r="Q76">
        <f>'附件3 规划内'!Q166</f>
        <v>0</v>
      </c>
      <c r="R76">
        <f>'附件3 规划内'!R166</f>
        <v>0</v>
      </c>
    </row>
    <row r="77" spans="1:18">
      <c r="A77">
        <f>'附件3 规划内'!A167</f>
        <v>166</v>
      </c>
      <c r="B77" t="str">
        <f>'附件3 规划内'!B167</f>
        <v>2020年度岗李乡冉村建设食用菌大棚、保鲜库产业扶贫项目</v>
      </c>
      <c r="C77" t="str">
        <f>'附件3 规划内'!C167</f>
        <v>乡村振兴</v>
      </c>
      <c r="D77" t="str">
        <f>'附件3 规划内'!D167</f>
        <v>修复沉淀池2个，一个大棚称重柱子下沉，棚顶破损</v>
      </c>
      <c r="E77">
        <f>'附件3 规划内'!E167</f>
        <v>2.5</v>
      </c>
      <c r="F77">
        <f>'附件3 规划内'!F167</f>
        <v>2.5</v>
      </c>
      <c r="G77">
        <f>'附件3 规划内'!G167</f>
        <v>0</v>
      </c>
      <c r="H77">
        <f>'附件3 规划内'!H167</f>
        <v>0</v>
      </c>
      <c r="I77" t="str">
        <f>'附件3 规划内'!I167</f>
        <v>完工</v>
      </c>
      <c r="J77">
        <f>'附件3 规划内'!J167</f>
        <v>2.5</v>
      </c>
      <c r="K77" t="str">
        <f>'附件3 规划内'!K167</f>
        <v/>
      </c>
      <c r="L77">
        <f>'附件3 规划内'!L167</f>
        <v>0</v>
      </c>
      <c r="M77" s="26">
        <f>'附件3 规划内'!M167</f>
        <v>44440</v>
      </c>
      <c r="N77" s="26">
        <f>'附件3 规划内'!N167</f>
        <v>44499</v>
      </c>
      <c r="O77" t="str">
        <f>'附件3 规划内'!O167</f>
        <v>市乡村振兴局</v>
      </c>
      <c r="P77" t="str">
        <f>'附件3 规划内'!P167</f>
        <v>尉氏县</v>
      </c>
      <c r="Q77">
        <f>'附件3 规划内'!Q167</f>
        <v>0</v>
      </c>
      <c r="R77">
        <f>'附件3 规划内'!R167</f>
        <v>0</v>
      </c>
    </row>
    <row r="78" spans="1:18">
      <c r="A78">
        <f>'附件3 规划内'!A168</f>
        <v>167</v>
      </c>
      <c r="B78" t="str">
        <f>'附件3 规划内'!B168</f>
        <v>2019年度尉氏县岗李乡占庄村建设扶贫加工点产业扶贫项目</v>
      </c>
      <c r="C78" t="str">
        <f>'附件3 规划内'!C168</f>
        <v>乡村振兴</v>
      </c>
      <c r="D78" t="str">
        <f>'附件3 规划内'!D168</f>
        <v>修缮围墙地基、办公室吊顶1间、电动门电机1个</v>
      </c>
      <c r="E78">
        <f>'附件3 规划内'!E168</f>
        <v>1.3</v>
      </c>
      <c r="F78">
        <f>'附件3 规划内'!F168</f>
        <v>1.3</v>
      </c>
      <c r="G78">
        <f>'附件3 规划内'!G168</f>
        <v>0</v>
      </c>
      <c r="H78">
        <f>'附件3 规划内'!H168</f>
        <v>0</v>
      </c>
      <c r="I78" t="str">
        <f>'附件3 规划内'!I168</f>
        <v>完工</v>
      </c>
      <c r="J78">
        <f>'附件3 规划内'!J168</f>
        <v>1.3</v>
      </c>
      <c r="K78" t="str">
        <f>'附件3 规划内'!K168</f>
        <v/>
      </c>
      <c r="L78">
        <f>'附件3 规划内'!L168</f>
        <v>0</v>
      </c>
      <c r="M78" s="26">
        <f>'附件3 规划内'!M168</f>
        <v>44440</v>
      </c>
      <c r="N78" s="26">
        <f>'附件3 规划内'!N168</f>
        <v>44499</v>
      </c>
      <c r="O78" t="str">
        <f>'附件3 规划内'!O168</f>
        <v>市乡村振兴局</v>
      </c>
      <c r="P78" t="str">
        <f>'附件3 规划内'!P168</f>
        <v>尉氏县</v>
      </c>
      <c r="Q78">
        <f>'附件3 规划内'!Q168</f>
        <v>0</v>
      </c>
      <c r="R78">
        <f>'附件3 规划内'!R168</f>
        <v>0</v>
      </c>
    </row>
    <row r="79" spans="1:18">
      <c r="A79">
        <f>'附件3 规划内'!A169</f>
        <v>168</v>
      </c>
      <c r="B79" t="str">
        <f>'附件3 规划内'!B169</f>
        <v>尉氏县水坡镇仝家村蔬菜大棚项目</v>
      </c>
      <c r="C79" t="str">
        <f>'附件3 规划内'!C169</f>
        <v>乡村振兴</v>
      </c>
      <c r="D79" t="str">
        <f>'附件3 规划内'!D169</f>
        <v>34座温室蔬菜大棚（双层）。100米长、8米宽、3.5米高</v>
      </c>
      <c r="E79">
        <f>'附件3 规划内'!E169</f>
        <v>170</v>
      </c>
      <c r="F79">
        <f>'附件3 规划内'!F169</f>
        <v>2</v>
      </c>
      <c r="G79">
        <f>'附件3 规划内'!G169</f>
        <v>168</v>
      </c>
      <c r="H79">
        <f>'附件3 规划内'!H169</f>
        <v>0</v>
      </c>
      <c r="I79" t="str">
        <f>'附件3 规划内'!I169</f>
        <v>完工</v>
      </c>
      <c r="J79">
        <f>'附件3 规划内'!J169</f>
        <v>170</v>
      </c>
      <c r="K79">
        <f>'附件3 规划内'!K169</f>
        <v>168</v>
      </c>
      <c r="L79">
        <f>'附件3 规划内'!L169</f>
        <v>0</v>
      </c>
      <c r="M79" s="26">
        <f>'附件3 规划内'!M169</f>
        <v>44440</v>
      </c>
      <c r="N79" s="26">
        <f>'附件3 规划内'!N169</f>
        <v>44499</v>
      </c>
      <c r="O79" t="str">
        <f>'附件3 规划内'!O169</f>
        <v>市乡村振兴局</v>
      </c>
      <c r="P79" t="str">
        <f>'附件3 规划内'!P169</f>
        <v>尉氏县</v>
      </c>
      <c r="Q79">
        <f>'附件3 规划内'!Q169</f>
        <v>0</v>
      </c>
      <c r="R79">
        <f>'附件3 规划内'!R169</f>
        <v>0</v>
      </c>
    </row>
    <row r="80" spans="1:18">
      <c r="A80">
        <f>'附件3 规划内'!A170</f>
        <v>169</v>
      </c>
      <c r="B80" t="str">
        <f>'附件3 规划内'!B170</f>
        <v>尉氏县水坡镇齐岗村蔬菜大棚项目</v>
      </c>
      <c r="C80" t="str">
        <f>'附件3 规划内'!C170</f>
        <v>乡村振兴</v>
      </c>
      <c r="D80" t="str">
        <f>'附件3 规划内'!D170</f>
        <v>20座温室蔬菜大棚。100米长、8米宽、3.5米高</v>
      </c>
      <c r="E80">
        <f>'附件3 规划内'!E170</f>
        <v>85</v>
      </c>
      <c r="F80">
        <f>'附件3 规划内'!F170</f>
        <v>2</v>
      </c>
      <c r="G80">
        <f>'附件3 规划内'!G170</f>
        <v>83</v>
      </c>
      <c r="H80">
        <f>'附件3 规划内'!H170</f>
        <v>0</v>
      </c>
      <c r="I80" t="str">
        <f>'附件3 规划内'!I170</f>
        <v>完工</v>
      </c>
      <c r="J80">
        <f>'附件3 规划内'!J170</f>
        <v>85</v>
      </c>
      <c r="K80">
        <f>'附件3 规划内'!K170</f>
        <v>83</v>
      </c>
      <c r="L80">
        <f>'附件3 规划内'!L170</f>
        <v>0</v>
      </c>
      <c r="M80" s="26">
        <f>'附件3 规划内'!M170</f>
        <v>44440</v>
      </c>
      <c r="N80" s="26">
        <f>'附件3 规划内'!N170</f>
        <v>44499</v>
      </c>
      <c r="O80" t="str">
        <f>'附件3 规划内'!O170</f>
        <v>市乡村振兴局</v>
      </c>
      <c r="P80" t="str">
        <f>'附件3 规划内'!P170</f>
        <v>尉氏县</v>
      </c>
      <c r="Q80">
        <f>'附件3 规划内'!Q170</f>
        <v>0</v>
      </c>
      <c r="R80">
        <f>'附件3 规划内'!R170</f>
        <v>0</v>
      </c>
    </row>
    <row r="81" spans="1:18">
      <c r="A81">
        <f>'附件3 规划内'!A171</f>
        <v>170</v>
      </c>
      <c r="B81" t="str">
        <f>'附件3 规划内'!B171</f>
        <v>尉氏县水坡镇老李村蔬菜大棚项目</v>
      </c>
      <c r="C81" t="str">
        <f>'附件3 规划内'!C171</f>
        <v>乡村振兴</v>
      </c>
      <c r="D81" t="str">
        <f>'附件3 规划内'!D171</f>
        <v>22座温室蔬菜大棚。100米长、8米宽、3.5米高</v>
      </c>
      <c r="E81">
        <f>'附件3 规划内'!E171</f>
        <v>100.047972</v>
      </c>
      <c r="F81">
        <f>'附件3 规划内'!F171</f>
        <v>2</v>
      </c>
      <c r="G81">
        <f>'附件3 规划内'!G171</f>
        <v>98.047972</v>
      </c>
      <c r="H81">
        <f>'附件3 规划内'!H171</f>
        <v>0</v>
      </c>
      <c r="I81" t="str">
        <f>'附件3 规划内'!I171</f>
        <v>完工</v>
      </c>
      <c r="J81">
        <f>'附件3 规划内'!J171</f>
        <v>100.047972</v>
      </c>
      <c r="K81">
        <f>'附件3 规划内'!K171</f>
        <v>98.047972</v>
      </c>
      <c r="L81">
        <f>'附件3 规划内'!L171</f>
        <v>0</v>
      </c>
      <c r="M81" s="26">
        <f>'附件3 规划内'!M171</f>
        <v>44440</v>
      </c>
      <c r="N81" s="26">
        <f>'附件3 规划内'!N171</f>
        <v>44499</v>
      </c>
      <c r="O81" t="str">
        <f>'附件3 规划内'!O171</f>
        <v>市乡村振兴局</v>
      </c>
      <c r="P81" t="str">
        <f>'附件3 规划内'!P171</f>
        <v>尉氏县</v>
      </c>
      <c r="Q81">
        <f>'附件3 规划内'!Q171</f>
        <v>0</v>
      </c>
      <c r="R81">
        <f>'附件3 规划内'!R171</f>
        <v>0</v>
      </c>
    </row>
    <row r="82" spans="1:18">
      <c r="A82">
        <f>'附件3 规划内'!A172</f>
        <v>171</v>
      </c>
      <c r="B82" t="str">
        <f>'附件3 规划内'!B172</f>
        <v>尉氏县水坡镇横堤村蔬菜大棚项目</v>
      </c>
      <c r="C82" t="str">
        <f>'附件3 规划内'!C172</f>
        <v>乡村振兴</v>
      </c>
      <c r="D82" t="str">
        <f>'附件3 规划内'!D172</f>
        <v>拟建设80座大棚（冷棚），规格：宽8米，长90米，高3.2米，拟占地100亩，建设资金395余万元，棚内设施地灌和喷灌。喷灌每个棚需要180米；地灌每20个棚配一个压力罐，每一个蔬菜大棚一个浇水口。</v>
      </c>
      <c r="E82">
        <f>'附件3 规划内'!E172</f>
        <v>395</v>
      </c>
      <c r="F82">
        <f>'附件3 规划内'!F172</f>
        <v>2</v>
      </c>
      <c r="G82">
        <f>'附件3 规划内'!G172</f>
        <v>393</v>
      </c>
      <c r="H82">
        <f>'附件3 规划内'!H172</f>
        <v>0</v>
      </c>
      <c r="I82" t="str">
        <f>'附件3 规划内'!I172</f>
        <v>完工</v>
      </c>
      <c r="J82">
        <f>'附件3 规划内'!J172</f>
        <v>395</v>
      </c>
      <c r="K82">
        <f>'附件3 规划内'!K172</f>
        <v>393</v>
      </c>
      <c r="L82">
        <f>'附件3 规划内'!L172</f>
        <v>0</v>
      </c>
      <c r="M82" s="26">
        <f>'附件3 规划内'!M172</f>
        <v>44440</v>
      </c>
      <c r="N82" s="26">
        <f>'附件3 规划内'!N172</f>
        <v>44499</v>
      </c>
      <c r="O82" t="str">
        <f>'附件3 规划内'!O172</f>
        <v>市乡村振兴局</v>
      </c>
      <c r="P82" t="str">
        <f>'附件3 规划内'!P172</f>
        <v>尉氏县</v>
      </c>
      <c r="Q82">
        <f>'附件3 规划内'!Q172</f>
        <v>0</v>
      </c>
      <c r="R82">
        <f>'附件3 规划内'!R172</f>
        <v>0</v>
      </c>
    </row>
    <row r="83" spans="1:18">
      <c r="A83">
        <f>'附件3 规划内'!A173</f>
        <v>172</v>
      </c>
      <c r="B83" t="str">
        <f>'附件3 规划内'!B173</f>
        <v>水坡镇横堤村2018年扶贫车间</v>
      </c>
      <c r="C83" t="str">
        <f>'附件3 规划内'!C173</f>
        <v>乡村振兴</v>
      </c>
      <c r="D83" t="str">
        <f>'附件3 规划内'!D173</f>
        <v>修复漏雨面积260平方，修复地基20米。</v>
      </c>
      <c r="E83">
        <f>'附件3 规划内'!E173</f>
        <v>5</v>
      </c>
      <c r="F83">
        <f>'附件3 规划内'!F173</f>
        <v>5</v>
      </c>
      <c r="G83">
        <f>'附件3 规划内'!G173</f>
        <v>0</v>
      </c>
      <c r="H83">
        <f>'附件3 规划内'!H173</f>
        <v>0</v>
      </c>
      <c r="I83" t="str">
        <f>'附件3 规划内'!I173</f>
        <v>完工</v>
      </c>
      <c r="J83">
        <f>'附件3 规划内'!J173</f>
        <v>5</v>
      </c>
      <c r="K83" t="str">
        <f>'附件3 规划内'!K173</f>
        <v/>
      </c>
      <c r="L83">
        <f>'附件3 规划内'!L173</f>
        <v>0</v>
      </c>
      <c r="M83" s="26">
        <f>'附件3 规划内'!M173</f>
        <v>44440</v>
      </c>
      <c r="N83" s="26">
        <f>'附件3 规划内'!N173</f>
        <v>44499</v>
      </c>
      <c r="O83" t="str">
        <f>'附件3 规划内'!O173</f>
        <v>市乡村振兴局</v>
      </c>
      <c r="P83" t="str">
        <f>'附件3 规划内'!P173</f>
        <v>尉氏县</v>
      </c>
      <c r="Q83">
        <f>'附件3 规划内'!Q173</f>
        <v>0</v>
      </c>
      <c r="R83">
        <f>'附件3 规划内'!R173</f>
        <v>0</v>
      </c>
    </row>
    <row r="84" spans="1:18">
      <c r="A84">
        <f>'附件3 规划内'!A174</f>
        <v>173</v>
      </c>
      <c r="B84" t="str">
        <f>'附件3 规划内'!B174</f>
        <v>水坡镇横堤村2019年扶贫车间</v>
      </c>
      <c r="C84" t="str">
        <f>'附件3 规划内'!C174</f>
        <v>乡村振兴</v>
      </c>
      <c r="D84" t="str">
        <f>'附件3 规划内'!D174</f>
        <v>修复漏雨面积100平方</v>
      </c>
      <c r="E84">
        <f>'附件3 规划内'!E174</f>
        <v>1</v>
      </c>
      <c r="F84">
        <f>'附件3 规划内'!F174</f>
        <v>1</v>
      </c>
      <c r="G84">
        <f>'附件3 规划内'!G174</f>
        <v>0</v>
      </c>
      <c r="H84">
        <f>'附件3 规划内'!H174</f>
        <v>0</v>
      </c>
      <c r="I84" t="str">
        <f>'附件3 规划内'!I174</f>
        <v>完工</v>
      </c>
      <c r="J84">
        <f>'附件3 规划内'!J174</f>
        <v>1</v>
      </c>
      <c r="K84" t="str">
        <f>'附件3 规划内'!K174</f>
        <v/>
      </c>
      <c r="L84">
        <f>'附件3 规划内'!L174</f>
        <v>0</v>
      </c>
      <c r="M84" s="26">
        <f>'附件3 规划内'!M174</f>
        <v>44440</v>
      </c>
      <c r="N84" s="26">
        <f>'附件3 规划内'!N174</f>
        <v>44499</v>
      </c>
      <c r="O84" t="str">
        <f>'附件3 规划内'!O174</f>
        <v>市乡村振兴局</v>
      </c>
      <c r="P84" t="str">
        <f>'附件3 规划内'!P174</f>
        <v>尉氏县</v>
      </c>
      <c r="Q84">
        <f>'附件3 规划内'!Q174</f>
        <v>0</v>
      </c>
      <c r="R84">
        <f>'附件3 规划内'!R174</f>
        <v>0</v>
      </c>
    </row>
    <row r="85" spans="1:18">
      <c r="A85">
        <f>'附件3 规划内'!A175</f>
        <v>174</v>
      </c>
      <c r="B85" t="str">
        <f>'附件3 规划内'!B175</f>
        <v>2019年水坡镇横堤村基础设施项目</v>
      </c>
      <c r="C85" t="str">
        <f>'附件3 规划内'!C175</f>
        <v>乡村振兴</v>
      </c>
      <c r="D85" t="str">
        <f>'附件3 规划内'!D175</f>
        <v>修复路面60米：土方长60米，宽3米，深1.8米；基础外挖长60米，宽4.5米；路面修复长60米，宽3米；护坡长60米，宽2米。</v>
      </c>
      <c r="E85">
        <f>'附件3 规划内'!E175</f>
        <v>5</v>
      </c>
      <c r="F85">
        <f>'附件3 规划内'!F175</f>
        <v>5</v>
      </c>
      <c r="G85">
        <f>'附件3 规划内'!G175</f>
        <v>0</v>
      </c>
      <c r="H85">
        <f>'附件3 规划内'!H175</f>
        <v>0</v>
      </c>
      <c r="I85" t="str">
        <f>'附件3 规划内'!I175</f>
        <v>完工</v>
      </c>
      <c r="J85">
        <f>'附件3 规划内'!J175</f>
        <v>5</v>
      </c>
      <c r="K85" t="str">
        <f>'附件3 规划内'!K175</f>
        <v/>
      </c>
      <c r="L85">
        <f>'附件3 规划内'!L175</f>
        <v>0</v>
      </c>
      <c r="M85" s="26">
        <f>'附件3 规划内'!M175</f>
        <v>44440</v>
      </c>
      <c r="N85" s="26">
        <f>'附件3 规划内'!N175</f>
        <v>44499</v>
      </c>
      <c r="O85" t="str">
        <f>'附件3 规划内'!O175</f>
        <v>市乡村振兴局</v>
      </c>
      <c r="P85" t="str">
        <f>'附件3 规划内'!P175</f>
        <v>尉氏县</v>
      </c>
      <c r="Q85">
        <f>'附件3 规划内'!Q175</f>
        <v>0</v>
      </c>
      <c r="R85">
        <f>'附件3 规划内'!R175</f>
        <v>0</v>
      </c>
    </row>
    <row r="86" spans="1:18">
      <c r="A86">
        <f>'附件3 规划内'!A176</f>
        <v>175</v>
      </c>
      <c r="B86" t="str">
        <f>'附件3 规划内'!B176</f>
        <v>2020年永兴镇刘符陈村基础设施建设</v>
      </c>
      <c r="C86" t="str">
        <f>'附件3 规划内'!C176</f>
        <v>乡村振兴</v>
      </c>
      <c r="D86" t="str">
        <f>'附件3 规划内'!D176</f>
        <v>修复道路路基30米，120平方米</v>
      </c>
      <c r="E86">
        <f>'附件3 规划内'!E176</f>
        <v>1.7483</v>
      </c>
      <c r="F86">
        <f>'附件3 规划内'!F176</f>
        <v>1.7483</v>
      </c>
      <c r="G86">
        <f>'附件3 规划内'!G176</f>
        <v>0</v>
      </c>
      <c r="H86">
        <f>'附件3 规划内'!H176</f>
        <v>0</v>
      </c>
      <c r="I86" t="str">
        <f>'附件3 规划内'!I176</f>
        <v>完工</v>
      </c>
      <c r="J86">
        <f>'附件3 规划内'!J176</f>
        <v>1.7483</v>
      </c>
      <c r="K86" t="str">
        <f>'附件3 规划内'!K176</f>
        <v/>
      </c>
      <c r="L86">
        <f>'附件3 规划内'!L176</f>
        <v>0</v>
      </c>
      <c r="M86" s="26">
        <f>'附件3 规划内'!M176</f>
        <v>44440</v>
      </c>
      <c r="N86" s="26">
        <f>'附件3 规划内'!N176</f>
        <v>44499</v>
      </c>
      <c r="O86" t="str">
        <f>'附件3 规划内'!O176</f>
        <v>市乡村振兴局</v>
      </c>
      <c r="P86" t="str">
        <f>'附件3 规划内'!P176</f>
        <v>尉氏县</v>
      </c>
      <c r="Q86">
        <f>'附件3 规划内'!Q176</f>
        <v>0</v>
      </c>
      <c r="R86">
        <f>'附件3 规划内'!R176</f>
        <v>0</v>
      </c>
    </row>
    <row r="87" spans="1:18">
      <c r="A87">
        <f>'附件3 规划内'!A177</f>
        <v>176</v>
      </c>
      <c r="B87" t="str">
        <f>'附件3 规划内'!B177</f>
        <v>2019年永兴镇刘符陈村基础设施建设</v>
      </c>
      <c r="C87" t="str">
        <f>'附件3 规划内'!C177</f>
        <v>乡村振兴</v>
      </c>
      <c r="D87" t="str">
        <f>'附件3 规划内'!D177</f>
        <v>修复道路路基20米，80平方米</v>
      </c>
      <c r="E87">
        <f>'附件3 规划内'!E177</f>
        <v>1.1656</v>
      </c>
      <c r="F87">
        <f>'附件3 规划内'!F177</f>
        <v>1.1656</v>
      </c>
      <c r="G87">
        <f>'附件3 规划内'!G177</f>
        <v>0</v>
      </c>
      <c r="H87">
        <f>'附件3 规划内'!H177</f>
        <v>0</v>
      </c>
      <c r="I87" t="str">
        <f>'附件3 规划内'!I177</f>
        <v>完工</v>
      </c>
      <c r="J87">
        <f>'附件3 规划内'!J177</f>
        <v>1.1656</v>
      </c>
      <c r="K87" t="str">
        <f>'附件3 规划内'!K177</f>
        <v/>
      </c>
      <c r="L87">
        <f>'附件3 规划内'!L177</f>
        <v>0</v>
      </c>
      <c r="M87" s="26">
        <f>'附件3 规划内'!M177</f>
        <v>44440</v>
      </c>
      <c r="N87" s="26">
        <f>'附件3 规划内'!N177</f>
        <v>44499</v>
      </c>
      <c r="O87" t="str">
        <f>'附件3 规划内'!O177</f>
        <v>市乡村振兴局</v>
      </c>
      <c r="P87" t="str">
        <f>'附件3 规划内'!P177</f>
        <v>尉氏县</v>
      </c>
      <c r="Q87">
        <f>'附件3 规划内'!Q177</f>
        <v>0</v>
      </c>
      <c r="R87">
        <f>'附件3 规划内'!R177</f>
        <v>0</v>
      </c>
    </row>
    <row r="88" spans="1:18">
      <c r="A88">
        <f>'附件3 规划内'!A178</f>
        <v>177</v>
      </c>
      <c r="B88" t="str">
        <f>'附件3 规划内'!B178</f>
        <v>2020张市镇沈家村晋冬枣温室大棚</v>
      </c>
      <c r="C88" t="str">
        <f>'附件3 规划内'!C178</f>
        <v>乡村振兴</v>
      </c>
      <c r="D88" t="str">
        <f>'附件3 规划内'!D178</f>
        <v>沈家村2座大棚棚膜更换</v>
      </c>
      <c r="E88">
        <f>'附件3 规划内'!E178</f>
        <v>3</v>
      </c>
      <c r="F88">
        <f>'附件3 规划内'!F178</f>
        <v>3</v>
      </c>
      <c r="G88">
        <f>'附件3 规划内'!G178</f>
        <v>0</v>
      </c>
      <c r="H88">
        <f>'附件3 规划内'!H178</f>
        <v>0</v>
      </c>
      <c r="I88" t="str">
        <f>'附件3 规划内'!I178</f>
        <v>完工</v>
      </c>
      <c r="J88">
        <f>'附件3 规划内'!J178</f>
        <v>3</v>
      </c>
      <c r="K88" t="str">
        <f>'附件3 规划内'!K178</f>
        <v/>
      </c>
      <c r="L88">
        <f>'附件3 规划内'!L178</f>
        <v>0</v>
      </c>
      <c r="M88" s="26">
        <f>'附件3 规划内'!M178</f>
        <v>44440</v>
      </c>
      <c r="N88" s="26">
        <f>'附件3 规划内'!N178</f>
        <v>44499</v>
      </c>
      <c r="O88" t="str">
        <f>'附件3 规划内'!O178</f>
        <v>市乡村振兴局</v>
      </c>
      <c r="P88" t="str">
        <f>'附件3 规划内'!P178</f>
        <v>尉氏县</v>
      </c>
      <c r="Q88">
        <f>'附件3 规划内'!Q178</f>
        <v>0</v>
      </c>
      <c r="R88">
        <f>'附件3 规划内'!R178</f>
        <v>0</v>
      </c>
    </row>
    <row r="89" spans="1:18">
      <c r="A89">
        <f>'附件3 规划内'!A179</f>
        <v>178</v>
      </c>
      <c r="B89" t="str">
        <f>'附件3 规划内'!B179</f>
        <v>2019张市镇郑岗村14座大棚</v>
      </c>
      <c r="C89" t="str">
        <f>'附件3 规划内'!C179</f>
        <v>乡村振兴</v>
      </c>
      <c r="D89" t="str">
        <f>'附件3 规划内'!D179</f>
        <v>郑岗村10座大棚棚膜更换</v>
      </c>
      <c r="E89">
        <f>'附件3 规划内'!E179</f>
        <v>4</v>
      </c>
      <c r="F89">
        <f>'附件3 规划内'!F179</f>
        <v>4</v>
      </c>
      <c r="G89">
        <f>'附件3 规划内'!G179</f>
        <v>0</v>
      </c>
      <c r="H89">
        <f>'附件3 规划内'!H179</f>
        <v>0</v>
      </c>
      <c r="I89" t="str">
        <f>'附件3 规划内'!I179</f>
        <v>完工</v>
      </c>
      <c r="J89">
        <f>'附件3 规划内'!J179</f>
        <v>4</v>
      </c>
      <c r="K89" t="str">
        <f>'附件3 规划内'!K179</f>
        <v/>
      </c>
      <c r="L89">
        <f>'附件3 规划内'!L179</f>
        <v>0</v>
      </c>
      <c r="M89" s="26">
        <f>'附件3 规划内'!M179</f>
        <v>44440</v>
      </c>
      <c r="N89" s="26">
        <f>'附件3 规划内'!N179</f>
        <v>44499</v>
      </c>
      <c r="O89" t="str">
        <f>'附件3 规划内'!O179</f>
        <v>市乡村振兴局</v>
      </c>
      <c r="P89" t="str">
        <f>'附件3 规划内'!P179</f>
        <v>尉氏县</v>
      </c>
      <c r="Q89">
        <f>'附件3 规划内'!Q179</f>
        <v>0</v>
      </c>
      <c r="R89">
        <f>'附件3 规划内'!R179</f>
        <v>0</v>
      </c>
    </row>
    <row r="90" spans="1:18">
      <c r="A90">
        <f>'附件3 规划内'!A180</f>
        <v>179</v>
      </c>
      <c r="B90" t="str">
        <f>'附件3 规划内'!B180</f>
        <v>2019张市镇边岗村大棚建设</v>
      </c>
      <c r="C90" t="str">
        <f>'附件3 规划内'!C180</f>
        <v>乡村振兴</v>
      </c>
      <c r="D90" t="str">
        <f>'附件3 规划内'!D180</f>
        <v>边岗村4座大棚棚膜更换</v>
      </c>
      <c r="E90">
        <f>'附件3 规划内'!E180</f>
        <v>4.3</v>
      </c>
      <c r="F90">
        <f>'附件3 规划内'!F180</f>
        <v>4.3</v>
      </c>
      <c r="G90">
        <f>'附件3 规划内'!G180</f>
        <v>0</v>
      </c>
      <c r="H90">
        <f>'附件3 规划内'!H180</f>
        <v>0</v>
      </c>
      <c r="I90" t="str">
        <f>'附件3 规划内'!I180</f>
        <v>完工</v>
      </c>
      <c r="J90">
        <f>'附件3 规划内'!J180</f>
        <v>4.3</v>
      </c>
      <c r="K90" t="str">
        <f>'附件3 规划内'!K180</f>
        <v/>
      </c>
      <c r="L90">
        <f>'附件3 规划内'!L180</f>
        <v>0</v>
      </c>
      <c r="M90" s="26">
        <f>'附件3 规划内'!M180</f>
        <v>44440</v>
      </c>
      <c r="N90" s="26">
        <f>'附件3 规划内'!N180</f>
        <v>44499</v>
      </c>
      <c r="O90" t="str">
        <f>'附件3 规划内'!O180</f>
        <v>市乡村振兴局</v>
      </c>
      <c r="P90" t="str">
        <f>'附件3 规划内'!P180</f>
        <v>尉氏县</v>
      </c>
      <c r="Q90">
        <f>'附件3 规划内'!Q180</f>
        <v>0</v>
      </c>
      <c r="R90">
        <f>'附件3 规划内'!R180</f>
        <v>0</v>
      </c>
    </row>
    <row r="91" spans="1:18">
      <c r="A91">
        <f>'附件3 规划内'!A181</f>
        <v>180</v>
      </c>
      <c r="B91" t="str">
        <f>'附件3 规划内'!B181</f>
        <v>2019庄头镇田家村钢结构标准棚7座</v>
      </c>
      <c r="C91" t="str">
        <f>'附件3 规划内'!C181</f>
        <v>乡村振兴</v>
      </c>
      <c r="D91" t="str">
        <f>'附件3 规划内'!D181</f>
        <v>7座修复外表塑料膜</v>
      </c>
      <c r="E91">
        <f>'附件3 规划内'!E181</f>
        <v>10</v>
      </c>
      <c r="F91">
        <f>'附件3 规划内'!F181</f>
        <v>10</v>
      </c>
      <c r="G91">
        <f>'附件3 规划内'!G181</f>
        <v>0</v>
      </c>
      <c r="H91">
        <f>'附件3 规划内'!H181</f>
        <v>0</v>
      </c>
      <c r="I91" t="str">
        <f>'附件3 规划内'!I181</f>
        <v>完工</v>
      </c>
      <c r="J91">
        <f>'附件3 规划内'!J181</f>
        <v>10</v>
      </c>
      <c r="K91" t="str">
        <f>'附件3 规划内'!K181</f>
        <v/>
      </c>
      <c r="L91">
        <f>'附件3 规划内'!L181</f>
        <v>0</v>
      </c>
      <c r="M91" s="26">
        <f>'附件3 规划内'!M181</f>
        <v>44440</v>
      </c>
      <c r="N91" s="26">
        <f>'附件3 规划内'!N181</f>
        <v>44499</v>
      </c>
      <c r="O91" t="str">
        <f>'附件3 规划内'!O181</f>
        <v>市乡村振兴局</v>
      </c>
      <c r="P91" t="str">
        <f>'附件3 规划内'!P181</f>
        <v>尉氏县</v>
      </c>
      <c r="Q91">
        <f>'附件3 规划内'!Q181</f>
        <v>0</v>
      </c>
      <c r="R91">
        <f>'附件3 规划内'!R181</f>
        <v>0</v>
      </c>
    </row>
    <row r="92" spans="1:18">
      <c r="A92">
        <f>'附件3 规划内'!A182</f>
        <v>181</v>
      </c>
      <c r="B92" t="str">
        <f>'附件3 规划内'!B182</f>
        <v>2020庄头镇田家村钢结构标准棚3座，养殖棚2座</v>
      </c>
      <c r="C92" t="str">
        <f>'附件3 规划内'!C182</f>
        <v>乡村振兴</v>
      </c>
      <c r="D92" t="str">
        <f>'附件3 规划内'!D182</f>
        <v>3座修复外表塑料膜、2座修复外表保温棉</v>
      </c>
      <c r="E92">
        <f>'附件3 规划内'!E182</f>
        <v>10</v>
      </c>
      <c r="F92">
        <f>'附件3 规划内'!F182</f>
        <v>10</v>
      </c>
      <c r="G92">
        <f>'附件3 规划内'!G182</f>
        <v>0</v>
      </c>
      <c r="H92">
        <f>'附件3 规划内'!H182</f>
        <v>0</v>
      </c>
      <c r="I92" t="str">
        <f>'附件3 规划内'!I182</f>
        <v>完工</v>
      </c>
      <c r="J92">
        <f>'附件3 规划内'!J182</f>
        <v>10</v>
      </c>
      <c r="K92" t="str">
        <f>'附件3 规划内'!K182</f>
        <v/>
      </c>
      <c r="L92">
        <f>'附件3 规划内'!L182</f>
        <v>0</v>
      </c>
      <c r="M92" s="26">
        <f>'附件3 规划内'!M182</f>
        <v>44440</v>
      </c>
      <c r="N92" s="26">
        <f>'附件3 规划内'!N182</f>
        <v>44499</v>
      </c>
      <c r="O92" t="str">
        <f>'附件3 规划内'!O182</f>
        <v>市乡村振兴局</v>
      </c>
      <c r="P92" t="str">
        <f>'附件3 规划内'!P182</f>
        <v>尉氏县</v>
      </c>
      <c r="Q92">
        <f>'附件3 规划内'!Q182</f>
        <v>0</v>
      </c>
      <c r="R92">
        <f>'附件3 规划内'!R182</f>
        <v>0</v>
      </c>
    </row>
    <row r="93" spans="1:18">
      <c r="A93">
        <f>'附件3 规划内'!A183</f>
        <v>182</v>
      </c>
      <c r="B93" t="str">
        <f>'附件3 规划内'!B183</f>
        <v>2019庄头镇于家村钢结构标准棚3座</v>
      </c>
      <c r="C93" t="str">
        <f>'附件3 规划内'!C183</f>
        <v>乡村振兴</v>
      </c>
      <c r="D93" t="str">
        <f>'附件3 规划内'!D183</f>
        <v>3座修复外表塑料膜</v>
      </c>
      <c r="E93">
        <f>'附件3 规划内'!E183</f>
        <v>5</v>
      </c>
      <c r="F93">
        <f>'附件3 规划内'!F183</f>
        <v>5</v>
      </c>
      <c r="G93">
        <f>'附件3 规划内'!G183</f>
        <v>0</v>
      </c>
      <c r="H93">
        <f>'附件3 规划内'!H183</f>
        <v>0</v>
      </c>
      <c r="I93" t="str">
        <f>'附件3 规划内'!I183</f>
        <v>完工</v>
      </c>
      <c r="J93">
        <f>'附件3 规划内'!J183</f>
        <v>5</v>
      </c>
      <c r="K93" t="str">
        <f>'附件3 规划内'!K183</f>
        <v/>
      </c>
      <c r="L93">
        <f>'附件3 规划内'!L183</f>
        <v>0</v>
      </c>
      <c r="M93" s="26">
        <f>'附件3 规划内'!M183</f>
        <v>44440</v>
      </c>
      <c r="N93" s="26">
        <f>'附件3 规划内'!N183</f>
        <v>44499</v>
      </c>
      <c r="O93" t="str">
        <f>'附件3 规划内'!O183</f>
        <v>市乡村振兴局</v>
      </c>
      <c r="P93" t="str">
        <f>'附件3 规划内'!P183</f>
        <v>尉氏县</v>
      </c>
      <c r="Q93">
        <f>'附件3 规划内'!Q183</f>
        <v>0</v>
      </c>
      <c r="R93">
        <f>'附件3 规划内'!R183</f>
        <v>0</v>
      </c>
    </row>
    <row r="94" spans="1:18">
      <c r="A94">
        <f>'附件3 规划内'!A184</f>
        <v>183</v>
      </c>
      <c r="B94" t="str">
        <f>'附件3 规划内'!B184</f>
        <v>2020庄头镇于家村养殖棚2座</v>
      </c>
      <c r="C94" t="str">
        <f>'附件3 规划内'!C184</f>
        <v>乡村振兴</v>
      </c>
      <c r="D94" t="str">
        <f>'附件3 规划内'!D184</f>
        <v>2座修复地基</v>
      </c>
      <c r="E94">
        <f>'附件3 规划内'!E184</f>
        <v>2</v>
      </c>
      <c r="F94">
        <f>'附件3 规划内'!F184</f>
        <v>2</v>
      </c>
      <c r="G94">
        <f>'附件3 规划内'!G184</f>
        <v>0</v>
      </c>
      <c r="H94">
        <f>'附件3 规划内'!H184</f>
        <v>0</v>
      </c>
      <c r="I94" t="str">
        <f>'附件3 规划内'!I184</f>
        <v>完工</v>
      </c>
      <c r="J94">
        <f>'附件3 规划内'!J184</f>
        <v>2</v>
      </c>
      <c r="K94" t="str">
        <f>'附件3 规划内'!K184</f>
        <v/>
      </c>
      <c r="L94">
        <f>'附件3 规划内'!L184</f>
        <v>0</v>
      </c>
      <c r="M94" s="26">
        <f>'附件3 规划内'!M184</f>
        <v>44440</v>
      </c>
      <c r="N94" s="26">
        <f>'附件3 规划内'!N184</f>
        <v>44499</v>
      </c>
      <c r="O94" t="str">
        <f>'附件3 规划内'!O184</f>
        <v>市乡村振兴局</v>
      </c>
      <c r="P94" t="str">
        <f>'附件3 规划内'!P184</f>
        <v>尉氏县</v>
      </c>
      <c r="Q94">
        <f>'附件3 规划内'!Q184</f>
        <v>0</v>
      </c>
      <c r="R94">
        <f>'附件3 规划内'!R184</f>
        <v>0</v>
      </c>
    </row>
    <row r="95" spans="1:18">
      <c r="A95">
        <f>'附件3 规划内'!A185</f>
        <v>184</v>
      </c>
      <c r="B95" t="str">
        <f>'附件3 规划内'!B185</f>
        <v>2020庄头镇二家张村蔬菜温室棚</v>
      </c>
      <c r="C95" t="str">
        <f>'附件3 规划内'!C185</f>
        <v>乡村振兴</v>
      </c>
      <c r="D95" t="str">
        <f>'附件3 规划内'!D185</f>
        <v>1座修复外表塑料膜，10个电机水淹损坏，1个配电盘水淹损坏，需要换新</v>
      </c>
      <c r="E95">
        <f>'附件3 规划内'!E185</f>
        <v>6</v>
      </c>
      <c r="F95">
        <f>'附件3 规划内'!F185</f>
        <v>6</v>
      </c>
      <c r="G95">
        <f>'附件3 规划内'!G185</f>
        <v>0</v>
      </c>
      <c r="H95">
        <f>'附件3 规划内'!H185</f>
        <v>0</v>
      </c>
      <c r="I95" t="str">
        <f>'附件3 规划内'!I185</f>
        <v>完工</v>
      </c>
      <c r="J95">
        <f>'附件3 规划内'!J185</f>
        <v>6</v>
      </c>
      <c r="K95" t="str">
        <f>'附件3 规划内'!K185</f>
        <v/>
      </c>
      <c r="L95">
        <f>'附件3 规划内'!L185</f>
        <v>0</v>
      </c>
      <c r="M95" s="26">
        <f>'附件3 规划内'!M185</f>
        <v>44440</v>
      </c>
      <c r="N95" s="26">
        <f>'附件3 规划内'!N185</f>
        <v>44499</v>
      </c>
      <c r="O95" t="str">
        <f>'附件3 规划内'!O185</f>
        <v>市乡村振兴局</v>
      </c>
      <c r="P95" t="str">
        <f>'附件3 规划内'!P185</f>
        <v>尉氏县</v>
      </c>
      <c r="Q95">
        <f>'附件3 规划内'!Q185</f>
        <v>0</v>
      </c>
      <c r="R95">
        <f>'附件3 规划内'!R185</f>
        <v>0</v>
      </c>
    </row>
    <row r="96" spans="1:18">
      <c r="A96">
        <f>'附件3 规划内'!A186</f>
        <v>185</v>
      </c>
      <c r="B96" t="str">
        <f>'附件3 规划内'!B186</f>
        <v>尉氏县庄头镇王家村蔬菜、水果大棚建设产业扶贫项目</v>
      </c>
      <c r="C96" t="str">
        <f>'附件3 规划内'!C186</f>
        <v>乡村振兴</v>
      </c>
      <c r="D96" t="str">
        <f>'附件3 规划内'!D186</f>
        <v>建设蔬菜、水果产业大棚30座</v>
      </c>
      <c r="E96">
        <f>'附件3 规划内'!E186</f>
        <v>183.5</v>
      </c>
      <c r="F96">
        <f>'附件3 规划内'!F186</f>
        <v>2</v>
      </c>
      <c r="G96">
        <f>'附件3 规划内'!G186</f>
        <v>181.5</v>
      </c>
      <c r="H96">
        <f>'附件3 规划内'!H186</f>
        <v>0</v>
      </c>
      <c r="I96" t="str">
        <f>'附件3 规划内'!I186</f>
        <v>完工</v>
      </c>
      <c r="J96">
        <f>'附件3 规划内'!J186</f>
        <v>183.5</v>
      </c>
      <c r="K96">
        <f>'附件3 规划内'!K186</f>
        <v>181.5</v>
      </c>
      <c r="L96" t="str">
        <f>'附件3 规划内'!L186</f>
        <v>正在实施</v>
      </c>
      <c r="M96" s="26">
        <f>'附件3 规划内'!M186</f>
        <v>44440</v>
      </c>
      <c r="N96" s="26">
        <f>'附件3 规划内'!N186</f>
        <v>44742</v>
      </c>
      <c r="O96" t="str">
        <f>'附件3 规划内'!O186</f>
        <v>市乡村振兴局</v>
      </c>
      <c r="P96" t="str">
        <f>'附件3 规划内'!P186</f>
        <v>尉氏县</v>
      </c>
      <c r="Q96">
        <f>'附件3 规划内'!Q186</f>
        <v>0</v>
      </c>
      <c r="R96">
        <f>'附件3 规划内'!R186</f>
        <v>0</v>
      </c>
    </row>
    <row r="97" spans="1:18">
      <c r="A97">
        <f>'附件3 规划内'!A187</f>
        <v>186</v>
      </c>
      <c r="B97" t="str">
        <f>'附件3 规划内'!B187</f>
        <v>尉氏县洧川镇湾李村建设食用菌大棚应急能力提升产业项目</v>
      </c>
      <c r="C97" t="str">
        <f>'附件3 规划内'!C187</f>
        <v>乡村振兴</v>
      </c>
      <c r="D97" t="str">
        <f>'附件3 规划内'!D187</f>
        <v>建七座出菇大棚，每座大棚造价30.84万元。每座大棚设计长度30米，宽度10米，高度4.5米。</v>
      </c>
      <c r="E97">
        <f>'附件3 规划内'!E187</f>
        <v>229.021</v>
      </c>
      <c r="F97">
        <f>'附件3 规划内'!F187</f>
        <v>20</v>
      </c>
      <c r="G97">
        <f>'附件3 规划内'!G187</f>
        <v>209.021</v>
      </c>
      <c r="H97">
        <f>'附件3 规划内'!H187</f>
        <v>0</v>
      </c>
      <c r="I97" t="str">
        <f>'附件3 规划内'!I187</f>
        <v>完工</v>
      </c>
      <c r="J97">
        <f>'附件3 规划内'!J187</f>
        <v>229.021</v>
      </c>
      <c r="K97">
        <f>'附件3 规划内'!K187</f>
        <v>209.021</v>
      </c>
      <c r="L97" t="str">
        <f>'附件3 规划内'!L187</f>
        <v>正在实施</v>
      </c>
      <c r="M97" s="26">
        <f>'附件3 规划内'!M187</f>
        <v>44440</v>
      </c>
      <c r="N97" s="26">
        <f>'附件3 规划内'!N187</f>
        <v>44742</v>
      </c>
      <c r="O97" t="str">
        <f>'附件3 规划内'!O187</f>
        <v>市乡村振兴局</v>
      </c>
      <c r="P97" t="str">
        <f>'附件3 规划内'!P187</f>
        <v>尉氏县</v>
      </c>
      <c r="Q97">
        <f>'附件3 规划内'!Q187</f>
        <v>0</v>
      </c>
      <c r="R97">
        <f>'附件3 规划内'!R187</f>
        <v>0</v>
      </c>
    </row>
    <row r="98" spans="1:18">
      <c r="A98">
        <f>'附件3 规划内'!A188</f>
        <v>187</v>
      </c>
      <c r="B98" t="str">
        <f>'附件3 规划内'!B188</f>
        <v>2019庄头镇庄头村扶贫车间</v>
      </c>
      <c r="C98" t="str">
        <f>'附件3 规划内'!C188</f>
        <v>乡村振兴</v>
      </c>
      <c r="D98" t="str">
        <f>'附件3 规划内'!D188</f>
        <v>庄头村扶贫车间需要修复围墙裂缝长12米，高2米，地坪塌陷10平方；水泡电动缝纫机5台、大型发电机组一台。</v>
      </c>
      <c r="E98">
        <f>'附件3 规划内'!E188</f>
        <v>5</v>
      </c>
      <c r="F98">
        <f>'附件3 规划内'!F188</f>
        <v>5</v>
      </c>
      <c r="G98">
        <f>'附件3 规划内'!G188</f>
        <v>0</v>
      </c>
      <c r="H98">
        <f>'附件3 规划内'!H188</f>
        <v>0</v>
      </c>
      <c r="I98" t="str">
        <f>'附件3 规划内'!I188</f>
        <v>完工</v>
      </c>
      <c r="J98">
        <f>'附件3 规划内'!J188</f>
        <v>5</v>
      </c>
      <c r="K98" t="str">
        <f>'附件3 规划内'!K188</f>
        <v/>
      </c>
      <c r="L98">
        <f>'附件3 规划内'!L188</f>
        <v>0</v>
      </c>
      <c r="M98" s="26">
        <f>'附件3 规划内'!M188</f>
        <v>44440</v>
      </c>
      <c r="N98" s="26">
        <f>'附件3 规划内'!N188</f>
        <v>44499</v>
      </c>
      <c r="O98" t="str">
        <f>'附件3 规划内'!O188</f>
        <v>市乡村振兴局</v>
      </c>
      <c r="P98" t="str">
        <f>'附件3 规划内'!P188</f>
        <v>尉氏县</v>
      </c>
      <c r="Q98">
        <f>'附件3 规划内'!Q188</f>
        <v>0</v>
      </c>
      <c r="R98">
        <f>'附件3 规划内'!R188</f>
        <v>0</v>
      </c>
    </row>
    <row r="99" spans="1:18">
      <c r="A99">
        <f>'附件3 规划内'!A189</f>
        <v>188</v>
      </c>
      <c r="B99" t="str">
        <f>'附件3 规划内'!B189</f>
        <v>邢庄乡大庙杨村2020年新建食用菌种植大棚产业扶贫项目</v>
      </c>
      <c r="C99" t="str">
        <f>'附件3 规划内'!C189</f>
        <v>乡村振兴</v>
      </c>
      <c r="D99" t="str">
        <f>'附件3 规划内'!D189</f>
        <v>需要修复41个大棚（26000平方）及配套水电；</v>
      </c>
      <c r="E99">
        <f>'附件3 规划内'!E189</f>
        <v>59</v>
      </c>
      <c r="F99">
        <f>'附件3 规划内'!F189</f>
        <v>59</v>
      </c>
      <c r="G99">
        <f>'附件3 规划内'!G189</f>
        <v>0</v>
      </c>
      <c r="H99">
        <f>'附件3 规划内'!H189</f>
        <v>0</v>
      </c>
      <c r="I99" t="str">
        <f>'附件3 规划内'!I189</f>
        <v>完工</v>
      </c>
      <c r="J99">
        <f>'附件3 规划内'!J189</f>
        <v>59</v>
      </c>
      <c r="K99" t="str">
        <f>'附件3 规划内'!K189</f>
        <v/>
      </c>
      <c r="L99">
        <f>'附件3 规划内'!L189</f>
        <v>0</v>
      </c>
      <c r="M99" s="26">
        <f>'附件3 规划内'!M189</f>
        <v>44440</v>
      </c>
      <c r="N99" s="26">
        <f>'附件3 规划内'!N189</f>
        <v>44499</v>
      </c>
      <c r="O99" t="str">
        <f>'附件3 规划内'!O189</f>
        <v>市乡村振兴局</v>
      </c>
      <c r="P99" t="str">
        <f>'附件3 规划内'!P189</f>
        <v>尉氏县</v>
      </c>
      <c r="Q99">
        <f>'附件3 规划内'!Q189</f>
        <v>0</v>
      </c>
      <c r="R99">
        <f>'附件3 规划内'!R189</f>
        <v>0</v>
      </c>
    </row>
    <row r="100" spans="1:18">
      <c r="A100">
        <f>'附件3 规划内'!A190</f>
        <v>189</v>
      </c>
      <c r="B100" t="str">
        <f>'附件3 规划内'!B190</f>
        <v>2017年度邢庄乡大庙杨村产业扶贫发展项目（扶贫车间）</v>
      </c>
      <c r="C100" t="str">
        <f>'附件3 规划内'!C190</f>
        <v>乡村振兴</v>
      </c>
      <c r="D100" t="str">
        <f>'附件3 规划内'!D190</f>
        <v>修复墙体，墙裙25米，修复地坪70平方</v>
      </c>
      <c r="E100">
        <f>'附件3 规划内'!E190</f>
        <v>2</v>
      </c>
      <c r="F100">
        <f>'附件3 规划内'!F190</f>
        <v>2</v>
      </c>
      <c r="G100">
        <f>'附件3 规划内'!G190</f>
        <v>0</v>
      </c>
      <c r="H100">
        <f>'附件3 规划内'!H190</f>
        <v>0</v>
      </c>
      <c r="I100" t="str">
        <f>'附件3 规划内'!I190</f>
        <v>完工</v>
      </c>
      <c r="J100">
        <f>'附件3 规划内'!J190</f>
        <v>2</v>
      </c>
      <c r="K100" t="str">
        <f>'附件3 规划内'!K190</f>
        <v/>
      </c>
      <c r="L100">
        <f>'附件3 规划内'!L190</f>
        <v>0</v>
      </c>
      <c r="M100" s="26">
        <f>'附件3 规划内'!M190</f>
        <v>44440</v>
      </c>
      <c r="N100" s="26">
        <f>'附件3 规划内'!N190</f>
        <v>44499</v>
      </c>
      <c r="O100" t="str">
        <f>'附件3 规划内'!O190</f>
        <v>市乡村振兴局</v>
      </c>
      <c r="P100" t="str">
        <f>'附件3 规划内'!P190</f>
        <v>尉氏县</v>
      </c>
      <c r="Q100">
        <f>'附件3 规划内'!Q190</f>
        <v>0</v>
      </c>
      <c r="R100">
        <f>'附件3 规划内'!R190</f>
        <v>0</v>
      </c>
    </row>
    <row r="101" spans="1:18">
      <c r="A101">
        <f>'附件3 规划内'!A191</f>
        <v>190</v>
      </c>
      <c r="B101" t="str">
        <f>'附件3 规划内'!B191</f>
        <v>2018年度尉氏县大马乡马古岗村扶贫车间建设项目</v>
      </c>
      <c r="C101" t="str">
        <f>'附件3 规划内'!C191</f>
        <v>乡村振兴</v>
      </c>
      <c r="D101" t="str">
        <f>'附件3 规划内'!D191</f>
        <v>屋顶防水220平方米，西房屋翻修、西墙群加固。</v>
      </c>
      <c r="E101">
        <f>'附件3 规划内'!E191</f>
        <v>5</v>
      </c>
      <c r="F101">
        <f>'附件3 规划内'!F191</f>
        <v>5</v>
      </c>
      <c r="G101">
        <f>'附件3 规划内'!G191</f>
        <v>0</v>
      </c>
      <c r="H101">
        <f>'附件3 规划内'!H191</f>
        <v>0</v>
      </c>
      <c r="I101" t="str">
        <f>'附件3 规划内'!I191</f>
        <v>完工</v>
      </c>
      <c r="J101">
        <f>'附件3 规划内'!J191</f>
        <v>5</v>
      </c>
      <c r="K101" t="str">
        <f>'附件3 规划内'!K191</f>
        <v/>
      </c>
      <c r="L101">
        <f>'附件3 规划内'!L191</f>
        <v>0</v>
      </c>
      <c r="M101" s="26">
        <f>'附件3 规划内'!M191</f>
        <v>44440</v>
      </c>
      <c r="N101" s="26">
        <f>'附件3 规划内'!N191</f>
        <v>44499</v>
      </c>
      <c r="O101" t="str">
        <f>'附件3 规划内'!O191</f>
        <v>市乡村振兴局</v>
      </c>
      <c r="P101" t="str">
        <f>'附件3 规划内'!P191</f>
        <v>尉氏县</v>
      </c>
      <c r="Q101">
        <f>'附件3 规划内'!Q191</f>
        <v>0</v>
      </c>
      <c r="R101">
        <f>'附件3 规划内'!R191</f>
        <v>0</v>
      </c>
    </row>
    <row r="102" spans="1:18">
      <c r="A102">
        <f>'附件3 规划内'!A192</f>
        <v>191</v>
      </c>
      <c r="B102" t="str">
        <f>'附件3 规划内'!B192</f>
        <v>2017年度大马乡胡陈村乡村道路建设项目</v>
      </c>
      <c r="C102" t="str">
        <f>'附件3 规划内'!C192</f>
        <v>乡村振兴</v>
      </c>
      <c r="D102" t="str">
        <f>'附件3 规划内'!D192</f>
        <v>路面修复，桥涵翻建</v>
      </c>
      <c r="E102">
        <f>'附件3 规划内'!E192</f>
        <v>10.1</v>
      </c>
      <c r="F102">
        <f>'附件3 规划内'!F192</f>
        <v>10.1</v>
      </c>
      <c r="G102">
        <f>'附件3 规划内'!G192</f>
        <v>0</v>
      </c>
      <c r="H102">
        <f>'附件3 规划内'!H192</f>
        <v>0</v>
      </c>
      <c r="I102" t="str">
        <f>'附件3 规划内'!I192</f>
        <v>完工</v>
      </c>
      <c r="J102">
        <f>'附件3 规划内'!J192</f>
        <v>10.1</v>
      </c>
      <c r="K102" t="str">
        <f>'附件3 规划内'!K192</f>
        <v/>
      </c>
      <c r="L102">
        <f>'附件3 规划内'!L192</f>
        <v>0</v>
      </c>
      <c r="M102" s="26">
        <f>'附件3 规划内'!M192</f>
        <v>44440</v>
      </c>
      <c r="N102" s="26">
        <f>'附件3 规划内'!N192</f>
        <v>44499</v>
      </c>
      <c r="O102" t="str">
        <f>'附件3 规划内'!O192</f>
        <v>市乡村振兴局</v>
      </c>
      <c r="P102" t="str">
        <f>'附件3 规划内'!P192</f>
        <v>尉氏县</v>
      </c>
      <c r="Q102">
        <f>'附件3 规划内'!Q192</f>
        <v>0</v>
      </c>
      <c r="R102">
        <f>'附件3 规划内'!R192</f>
        <v>0</v>
      </c>
    </row>
    <row r="103" spans="1:18">
      <c r="A103">
        <f>'附件3 规划内'!A193</f>
        <v>192</v>
      </c>
      <c r="B103" t="str">
        <f>'附件3 规划内'!B193</f>
        <v>2018年度尉氏县大马乡胡陈村扶贫车间建设项目</v>
      </c>
      <c r="C103" t="str">
        <f>'附件3 规划内'!C193</f>
        <v>乡村振兴</v>
      </c>
      <c r="D103" t="str">
        <f>'附件3 规划内'!D193</f>
        <v>车间内地坪修复10公分厚 C25水泥砼1300平方米</v>
      </c>
      <c r="E103">
        <f>'附件3 规划内'!E193</f>
        <v>24.7</v>
      </c>
      <c r="F103">
        <f>'附件3 规划内'!F193</f>
        <v>24.7</v>
      </c>
      <c r="G103">
        <f>'附件3 规划内'!G193</f>
        <v>0</v>
      </c>
      <c r="H103">
        <f>'附件3 规划内'!H193</f>
        <v>0</v>
      </c>
      <c r="I103" t="str">
        <f>'附件3 规划内'!I193</f>
        <v>完工</v>
      </c>
      <c r="J103">
        <f>'附件3 规划内'!J193</f>
        <v>24.7</v>
      </c>
      <c r="K103" t="str">
        <f>'附件3 规划内'!K193</f>
        <v/>
      </c>
      <c r="L103">
        <f>'附件3 规划内'!L193</f>
        <v>0</v>
      </c>
      <c r="M103" s="26">
        <f>'附件3 规划内'!M193</f>
        <v>44440</v>
      </c>
      <c r="N103" s="26">
        <f>'附件3 规划内'!N193</f>
        <v>44499</v>
      </c>
      <c r="O103" t="str">
        <f>'附件3 规划内'!O193</f>
        <v>市乡村振兴局</v>
      </c>
      <c r="P103" t="str">
        <f>'附件3 规划内'!P193</f>
        <v>尉氏县</v>
      </c>
      <c r="Q103">
        <f>'附件3 规划内'!Q193</f>
        <v>0</v>
      </c>
      <c r="R103">
        <f>'附件3 规划内'!R193</f>
        <v>0</v>
      </c>
    </row>
    <row r="104" spans="1:18">
      <c r="A104">
        <f>'附件3 规划内'!A194</f>
        <v>193</v>
      </c>
      <c r="B104" t="str">
        <f>'附件3 规划内'!B194</f>
        <v>尉氏县大马乡八里庙村自动化分拣及高标准电商平台产业扶贫项目</v>
      </c>
      <c r="C104" t="str">
        <f>'附件3 规划内'!C194</f>
        <v>乡村振兴</v>
      </c>
      <c r="D104" t="str">
        <f>'附件3 规划内'!D194</f>
        <v>修缮车间围墙110平方米，屋顶防水160平方米，室内吊顶1850平方，线路维修10平方电线，</v>
      </c>
      <c r="E104">
        <f>'附件3 规划内'!E194</f>
        <v>24.15</v>
      </c>
      <c r="F104">
        <f>'附件3 规划内'!F194</f>
        <v>24.15</v>
      </c>
      <c r="G104">
        <f>'附件3 规划内'!G194</f>
        <v>0</v>
      </c>
      <c r="H104">
        <f>'附件3 规划内'!H194</f>
        <v>0</v>
      </c>
      <c r="I104" t="str">
        <f>'附件3 规划内'!I194</f>
        <v>完工</v>
      </c>
      <c r="J104">
        <f>'附件3 规划内'!J194</f>
        <v>24.15</v>
      </c>
      <c r="K104" t="str">
        <f>'附件3 规划内'!K194</f>
        <v/>
      </c>
      <c r="L104">
        <f>'附件3 规划内'!L194</f>
        <v>0</v>
      </c>
      <c r="M104" s="26">
        <f>'附件3 规划内'!M194</f>
        <v>44440</v>
      </c>
      <c r="N104" s="26">
        <f>'附件3 规划内'!N194</f>
        <v>44499</v>
      </c>
      <c r="O104" t="str">
        <f>'附件3 规划内'!O194</f>
        <v>市乡村振兴局</v>
      </c>
      <c r="P104" t="str">
        <f>'附件3 规划内'!P194</f>
        <v>尉氏县</v>
      </c>
      <c r="Q104">
        <f>'附件3 规划内'!Q194</f>
        <v>0</v>
      </c>
      <c r="R104">
        <f>'附件3 规划内'!R194</f>
        <v>0</v>
      </c>
    </row>
    <row r="105" spans="1:18">
      <c r="A105">
        <f>'附件3 规划内'!A195</f>
        <v>194</v>
      </c>
      <c r="B105" t="str">
        <f>'附件3 规划内'!B195</f>
        <v>杞县圉镇镇江庄村小型农田水利工程项目</v>
      </c>
      <c r="C105" t="str">
        <f>'附件3 规划内'!C195</f>
        <v>乡村振兴</v>
      </c>
      <c r="D105">
        <f>'附件3 规划内'!D195</f>
        <v>0</v>
      </c>
      <c r="E105">
        <f>'附件3 规划内'!E195</f>
        <v>8</v>
      </c>
      <c r="F105">
        <f>'附件3 规划内'!F195</f>
        <v>8</v>
      </c>
      <c r="G105">
        <f>'附件3 规划内'!G195</f>
        <v>0</v>
      </c>
      <c r="H105">
        <f>'附件3 规划内'!H195</f>
        <v>0</v>
      </c>
      <c r="I105" t="str">
        <f>'附件3 规划内'!I195</f>
        <v>完工</v>
      </c>
      <c r="J105">
        <f>'附件3 规划内'!J195</f>
        <v>8</v>
      </c>
      <c r="K105" t="str">
        <f>'附件3 规划内'!K195</f>
        <v/>
      </c>
      <c r="L105">
        <f>'附件3 规划内'!L195</f>
        <v>0</v>
      </c>
      <c r="M105" s="29">
        <f>'附件3 规划内'!M195</f>
        <v>0</v>
      </c>
      <c r="N105" s="29">
        <f>'附件3 规划内'!N195</f>
        <v>0</v>
      </c>
      <c r="O105" t="str">
        <f>'附件3 规划内'!O195</f>
        <v>市乡村振兴局</v>
      </c>
      <c r="P105" t="str">
        <f>'附件3 规划内'!P195</f>
        <v>杞县</v>
      </c>
      <c r="Q105">
        <f>'附件3 规划内'!Q195</f>
        <v>0</v>
      </c>
      <c r="R105">
        <f>'附件3 规划内'!R195</f>
        <v>0</v>
      </c>
    </row>
  </sheetData>
  <sheetProtection formatCells="0" formatColumns="0" formatRows="0" sort="0" autoFilter="0"/>
  <autoFilter ref="A6:AK105">
    <extLst/>
  </autoFilter>
  <mergeCells count="5">
    <mergeCell ref="A1:G1"/>
    <mergeCell ref="H1:N1"/>
    <mergeCell ref="O1:U1"/>
    <mergeCell ref="A5:R5"/>
    <mergeCell ref="T5:AK5"/>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K16"/>
  <sheetViews>
    <sheetView zoomScale="90" zoomScaleNormal="90" workbookViewId="0">
      <pane ySplit="6" topLeftCell="A7" activePane="bottomLeft" state="frozen"/>
      <selection/>
      <selection pane="bottomLeft" activeCell="P20" sqref="P20"/>
    </sheetView>
  </sheetViews>
  <sheetFormatPr defaultColWidth="9" defaultRowHeight="13.5"/>
  <cols>
    <col min="13" max="13" width="11.9083333333333" customWidth="1"/>
    <col min="14" max="14" width="10.6333333333333" customWidth="1"/>
    <col min="32" max="33" width="11.9083333333333" customWidth="1"/>
  </cols>
  <sheetData>
    <row r="1" ht="14.15" customHeight="1" spans="1:21">
      <c r="A1" s="2" t="s">
        <v>1287</v>
      </c>
      <c r="B1" s="3"/>
      <c r="C1" s="3"/>
      <c r="D1" s="3"/>
      <c r="E1" s="3"/>
      <c r="F1" s="3"/>
      <c r="G1" s="4"/>
      <c r="H1" s="5" t="s">
        <v>1288</v>
      </c>
      <c r="I1" s="5"/>
      <c r="J1" s="5"/>
      <c r="K1" s="5"/>
      <c r="L1" s="5"/>
      <c r="M1" s="5"/>
      <c r="N1" s="5"/>
      <c r="O1" s="16" t="s">
        <v>1289</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13</v>
      </c>
      <c r="C3" s="10">
        <f t="shared" ref="C3:F4" si="0">J3+Q3</f>
        <v>52917.26</v>
      </c>
      <c r="D3" s="10">
        <f t="shared" si="0"/>
        <v>13</v>
      </c>
      <c r="E3" s="10">
        <f t="shared" si="0"/>
        <v>6</v>
      </c>
      <c r="F3" s="10">
        <f t="shared" si="0"/>
        <v>50525.13</v>
      </c>
      <c r="G3" s="11">
        <f>IF(C3=0,"-",ROUND(F3/C3,3))</f>
        <v>0.955</v>
      </c>
      <c r="H3" s="8" t="s">
        <v>1146</v>
      </c>
      <c r="I3" s="17">
        <f>COUNT(E7:E122)</f>
        <v>2</v>
      </c>
      <c r="J3" s="21">
        <f>SUM(E7:E122)</f>
        <v>500</v>
      </c>
      <c r="K3" s="21">
        <f>COUNTIF(I7:I122,"在建")+COUNTIF(I7:I122,"完工")</f>
        <v>2</v>
      </c>
      <c r="L3" s="21">
        <f>COUNTIF(I7:I122,"完工")</f>
        <v>1</v>
      </c>
      <c r="M3" s="17">
        <f>SUM(J7:J122)</f>
        <v>367.87</v>
      </c>
      <c r="N3" s="22">
        <f>IF(J3=0,"-",ROUND(M3/J3,3))</f>
        <v>0.736</v>
      </c>
      <c r="O3" s="19" t="s">
        <v>1146</v>
      </c>
      <c r="P3" s="20">
        <f>COUNT(X7:X121)+1</f>
        <v>11</v>
      </c>
      <c r="Q3" s="24">
        <f>SUM(X7:X121)</f>
        <v>52417.26</v>
      </c>
      <c r="R3" s="24">
        <f>COUNTIF(AB7:AB121,"在建")+COUNTIF(AB7:AB121,"完工")+IF(AB16&lt;&gt;"未开工",1,0)</f>
        <v>11</v>
      </c>
      <c r="S3" s="24">
        <f>COUNTIF(AB7:AB121,"完工")+IF(AB16="完工",1,0)</f>
        <v>5</v>
      </c>
      <c r="T3" s="20">
        <f>SUM(AC7:AC121)</f>
        <v>50157.26</v>
      </c>
      <c r="U3" s="25">
        <f>IF(Q3=0,"-",ROUND(T3/Q3,3))</f>
        <v>0.957</v>
      </c>
    </row>
    <row r="4" s="1" customFormat="1" ht="27" spans="1:21">
      <c r="A4" s="9" t="s">
        <v>1147</v>
      </c>
      <c r="B4" s="10">
        <f>I4+P4</f>
        <v>12</v>
      </c>
      <c r="C4" s="10">
        <f t="shared" si="0"/>
        <v>48356.86</v>
      </c>
      <c r="D4" s="10">
        <f t="shared" si="0"/>
        <v>12</v>
      </c>
      <c r="E4" s="10">
        <f t="shared" si="0"/>
        <v>5</v>
      </c>
      <c r="F4" s="10">
        <f t="shared" si="0"/>
        <v>46464.73</v>
      </c>
      <c r="G4" s="12">
        <f>IF(C4=0,"-",ROUND(F4/C4,3))</f>
        <v>0.961</v>
      </c>
      <c r="H4" s="8" t="s">
        <v>1148</v>
      </c>
      <c r="I4" s="17">
        <f>COUNTIF(G7:G122,"&gt;0")</f>
        <v>2</v>
      </c>
      <c r="J4" s="21">
        <f>SUM(G7:G122)</f>
        <v>390</v>
      </c>
      <c r="K4" s="21">
        <f>COUNTIFS(G7:G122,"&gt;0",I7:I122,"完工")+COUNTIFS(G7:G122,"&gt;0",I7:I122,"在建")</f>
        <v>2</v>
      </c>
      <c r="L4" s="21">
        <f>COUNTIFS(G7:G122,"&gt;0",I7:I122,"完工")</f>
        <v>1</v>
      </c>
      <c r="M4" s="17">
        <f>SUM(K7:K122)</f>
        <v>257.87</v>
      </c>
      <c r="N4" s="22">
        <f>IF(J4=0,"-",ROUND(M4/J4,3))</f>
        <v>0.661</v>
      </c>
      <c r="O4" s="19" t="s">
        <v>1148</v>
      </c>
      <c r="P4" s="20">
        <f>COUNTIF(Z7:Z121,"&gt;0")+1</f>
        <v>10</v>
      </c>
      <c r="Q4" s="24">
        <f>SUM(Z7:Z121)</f>
        <v>47966.86</v>
      </c>
      <c r="R4" s="24">
        <f>COUNTIFS(Z7:Z121,"&gt;0",AB7:AB121,"完工")+COUNTIFS(Z7:Z121,"&gt;0",AB7:AB121,"在建")+IF(AB16&lt;&gt;"未开工",1,0)</f>
        <v>10</v>
      </c>
      <c r="S4" s="24">
        <f>COUNTIFS(Z7:Z121,"&gt;0",AB7:AB121,"完工")+IF(AB16="完工",1,0)</f>
        <v>4</v>
      </c>
      <c r="T4" s="20">
        <f>SUM(AD7:AD121)</f>
        <v>46206.86</v>
      </c>
      <c r="U4" s="25">
        <f>IF(Q4=0,"-",ROUND(T4/Q4,3))</f>
        <v>0.963</v>
      </c>
    </row>
    <row r="5" s="1" customFormat="1" spans="1:37">
      <c r="A5" s="13" t="s">
        <v>1290</v>
      </c>
      <c r="B5" s="14"/>
      <c r="C5" s="14"/>
      <c r="D5" s="14"/>
      <c r="E5" s="14"/>
      <c r="F5" s="14"/>
      <c r="G5" s="14"/>
      <c r="H5" s="14"/>
      <c r="I5" s="14"/>
      <c r="J5" s="14"/>
      <c r="K5" s="14"/>
      <c r="L5" s="14"/>
      <c r="M5" s="14"/>
      <c r="N5" s="14"/>
      <c r="O5" s="14"/>
      <c r="P5" s="14"/>
      <c r="Q5" s="14"/>
      <c r="R5" s="14"/>
      <c r="T5" s="13" t="s">
        <v>1291</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37">
      <c r="A7">
        <f>'附件3 规划内'!A196</f>
        <v>195</v>
      </c>
      <c r="B7" t="str">
        <f>'附件3 规划内'!B196</f>
        <v>尉氏县基层敬老院灾后重建工程建设项目</v>
      </c>
      <c r="C7" t="str">
        <f>'附件3 规划内'!C196</f>
        <v>民政</v>
      </c>
      <c r="D7" t="str">
        <f>'附件3 规划内'!D196</f>
        <v>对全县13所公办养老机构进行灾后维修及院民所需受灾设施设备购买完善。</v>
      </c>
      <c r="E7">
        <f>'附件3 规划内'!E196</f>
        <v>200</v>
      </c>
      <c r="F7">
        <f>'附件3 规划内'!F196</f>
        <v>100</v>
      </c>
      <c r="G7">
        <f>'附件3 规划内'!G196</f>
        <v>100</v>
      </c>
      <c r="H7">
        <f>'附件3 规划内'!H196</f>
        <v>0</v>
      </c>
      <c r="I7" t="str">
        <f>'附件3 规划内'!I196</f>
        <v>完工</v>
      </c>
      <c r="J7">
        <f>'附件3 规划内'!J196</f>
        <v>200</v>
      </c>
      <c r="K7">
        <f>'附件3 规划内'!K196</f>
        <v>100</v>
      </c>
      <c r="L7" t="str">
        <f>'附件3 规划内'!L196</f>
        <v>庄头敬老院完成墙体粉刷，正在进行绿化和设备采购</v>
      </c>
      <c r="M7" s="26">
        <f>'附件3 规划内'!M196</f>
        <v>44470</v>
      </c>
      <c r="N7" s="26">
        <f>'附件3 规划内'!N196</f>
        <v>44713</v>
      </c>
      <c r="O7" t="str">
        <f>'附件3 规划内'!O196</f>
        <v>市民政局</v>
      </c>
      <c r="P7" t="str">
        <f>'附件3 规划内'!P196</f>
        <v>尉氏县</v>
      </c>
      <c r="Q7">
        <f>'附件3 规划内'!Q196</f>
        <v>0</v>
      </c>
      <c r="R7">
        <f>'附件3 规划内'!R196</f>
        <v>0</v>
      </c>
      <c r="T7">
        <f>'附件4 规划外'!A91</f>
        <v>101</v>
      </c>
      <c r="U7" t="str">
        <f>'附件4 规划外'!B91</f>
        <v>兰考县乡镇敬老院灾后重建项目</v>
      </c>
      <c r="V7" t="str">
        <f>'附件4 规划外'!C91</f>
        <v>民政</v>
      </c>
      <c r="W7" t="str">
        <f>'附件4 规划外'!D91</f>
        <v>1.红庙敬老院：规划占地面积30亩，建筑面积300平方米，新建养老床位65张；2.葡萄架敬老院：规划占地面积32亩，新建综合服务楼3800平方米。设置床位85张；3.仪封镇敬老院：规划占地面积30亩，建筑面积300平方米，新建养老床位65张。</v>
      </c>
      <c r="X7">
        <f>'附件4 规划外'!E91</f>
        <v>3000</v>
      </c>
      <c r="Y7">
        <f>'附件4 规划外'!F91</f>
        <v>1000</v>
      </c>
      <c r="Z7">
        <f>'附件4 规划外'!G91</f>
        <v>1500</v>
      </c>
      <c r="AA7">
        <f>'附件4 规划外'!H91</f>
        <v>500</v>
      </c>
      <c r="AB7" t="str">
        <f>'附件4 规划外'!I91</f>
        <v>在建</v>
      </c>
      <c r="AC7">
        <f>'附件4 规划外'!J91</f>
        <v>2200</v>
      </c>
      <c r="AD7">
        <f>'附件4 规划外'!K91</f>
        <v>1200</v>
      </c>
      <c r="AE7" t="str">
        <f>'附件4 规划外'!L91</f>
        <v>主体工程已完成，因疫情原因，本周未开工</v>
      </c>
      <c r="AF7" s="26">
        <f>'附件4 规划外'!M91</f>
        <v>44501</v>
      </c>
      <c r="AG7" s="26">
        <f>'附件4 规划外'!N91</f>
        <v>45200</v>
      </c>
      <c r="AH7" t="str">
        <f>'附件4 规划外'!O91</f>
        <v>市民政局</v>
      </c>
      <c r="AI7" t="str">
        <f>'附件4 规划外'!P91</f>
        <v>兰考县</v>
      </c>
      <c r="AJ7">
        <f>'附件4 规划外'!Q91</f>
        <v>0</v>
      </c>
      <c r="AK7">
        <f>'附件4 规划外'!R91</f>
        <v>0</v>
      </c>
    </row>
    <row r="8" spans="1:37">
      <c r="A8">
        <f>'附件3 规划内'!A197</f>
        <v>196</v>
      </c>
      <c r="B8" t="str">
        <f>'附件3 规划内'!B197</f>
        <v>尉氏县社会福利中心受损设施恢复重建</v>
      </c>
      <c r="C8" t="str">
        <f>'附件3 规划内'!C197</f>
        <v>民政</v>
      </c>
      <c r="D8" t="str">
        <f>'附件3 规划内'!D197</f>
        <v>对福利中心院内的房屋、围墙、管网、用电线路、消防设施、道路等进行恢复重建。</v>
      </c>
      <c r="E8">
        <f>'附件3 规划内'!E197</f>
        <v>300</v>
      </c>
      <c r="F8">
        <f>'附件3 规划内'!F197</f>
        <v>10</v>
      </c>
      <c r="G8">
        <f>'附件3 规划内'!G197</f>
        <v>290</v>
      </c>
      <c r="H8">
        <f>'附件3 规划内'!H197</f>
        <v>0</v>
      </c>
      <c r="I8" t="str">
        <f>'附件3 规划内'!I197</f>
        <v>在建</v>
      </c>
      <c r="J8">
        <f>'附件3 规划内'!J197</f>
        <v>167.87</v>
      </c>
      <c r="K8">
        <f>'附件3 规划内'!K197</f>
        <v>157.87</v>
      </c>
      <c r="L8" t="str">
        <f>'附件3 规划内'!L197</f>
        <v>完成护坡绿化、监控设备维修更换</v>
      </c>
      <c r="M8" s="26">
        <f>'附件3 规划内'!M197</f>
        <v>44501</v>
      </c>
      <c r="N8" s="26">
        <f>'附件3 规划内'!N197</f>
        <v>44713</v>
      </c>
      <c r="O8" t="str">
        <f>'附件3 规划内'!O197</f>
        <v>市民政局</v>
      </c>
      <c r="P8" t="str">
        <f>'附件3 规划内'!P197</f>
        <v>尉氏县</v>
      </c>
      <c r="Q8">
        <f>'附件3 规划内'!Q197</f>
        <v>0</v>
      </c>
      <c r="R8">
        <f>'附件3 规划内'!R197</f>
        <v>0</v>
      </c>
      <c r="T8">
        <f>'附件4 规划外'!A92</f>
        <v>102</v>
      </c>
      <c r="U8" t="str">
        <f>'附件4 规划外'!B92</f>
        <v>兰考县城区中心敬老院建设</v>
      </c>
      <c r="V8" t="str">
        <f>'附件4 规划外'!C92</f>
        <v>民政</v>
      </c>
      <c r="W8" t="str">
        <f>'附件4 规划外'!D92</f>
        <v>规划建筑面积7720平方米，设计床位220张。</v>
      </c>
      <c r="X8">
        <f>'附件4 规划外'!E92</f>
        <v>1430</v>
      </c>
      <c r="Y8">
        <f>'附件4 规划外'!F92</f>
        <v>500</v>
      </c>
      <c r="Z8">
        <f>'附件4 规划外'!G92</f>
        <v>930</v>
      </c>
      <c r="AA8">
        <f>'附件4 规划外'!H92</f>
        <v>0</v>
      </c>
      <c r="AB8" t="str">
        <f>'附件4 规划外'!I92</f>
        <v>在建</v>
      </c>
      <c r="AC8">
        <f>'附件4 规划外'!J92</f>
        <v>1215</v>
      </c>
      <c r="AD8">
        <f>'附件4 规划外'!K92</f>
        <v>715</v>
      </c>
      <c r="AE8" t="str">
        <f>'附件4 规划外'!L92</f>
        <v>主体工程已完成，因疫情原因，本周未开工</v>
      </c>
      <c r="AF8" s="26">
        <f>'附件4 规划外'!M92</f>
        <v>44501</v>
      </c>
      <c r="AG8" s="26">
        <f>'附件4 规划外'!N92</f>
        <v>44896</v>
      </c>
      <c r="AH8" t="str">
        <f>'附件4 规划外'!O92</f>
        <v>市民政局</v>
      </c>
      <c r="AI8" t="str">
        <f>'附件4 规划外'!P92</f>
        <v>兰考县</v>
      </c>
      <c r="AJ8">
        <f>'附件4 规划外'!Q92</f>
        <v>0</v>
      </c>
      <c r="AK8">
        <f>'附件4 规划外'!R92</f>
        <v>0</v>
      </c>
    </row>
    <row r="9" spans="20:37">
      <c r="T9">
        <f>'附件4 规划外'!A93</f>
        <v>103</v>
      </c>
      <c r="U9" t="str">
        <f>'附件4 规划外'!B93</f>
        <v>通许县殡仪馆灾后修缮工程</v>
      </c>
      <c r="V9" t="str">
        <f>'附件4 规划外'!C93</f>
        <v>民政</v>
      </c>
      <c r="W9" t="str">
        <f>'附件4 规划外'!D93</f>
        <v>修复院墙、地基、修缮房屋漏水、门窗。</v>
      </c>
      <c r="X9">
        <f>'附件4 规划外'!E93</f>
        <v>67</v>
      </c>
      <c r="Y9">
        <f>'附件4 规划外'!F93</f>
        <v>67</v>
      </c>
      <c r="Z9">
        <f>'附件4 规划外'!G93</f>
        <v>0</v>
      </c>
      <c r="AA9">
        <f>'附件4 规划外'!H93</f>
        <v>0</v>
      </c>
      <c r="AB9" t="str">
        <f>'附件4 规划外'!I93</f>
        <v>完工</v>
      </c>
      <c r="AC9">
        <f>'附件4 规划外'!J93</f>
        <v>67</v>
      </c>
      <c r="AD9" t="str">
        <f>'附件4 规划外'!K93</f>
        <v/>
      </c>
      <c r="AE9" t="str">
        <f>'附件4 规划外'!L93</f>
        <v>已完工</v>
      </c>
      <c r="AF9" s="26">
        <f>'附件4 规划外'!M93</f>
        <v>44440</v>
      </c>
      <c r="AG9" s="26">
        <f>'附件4 规划外'!N93</f>
        <v>44501</v>
      </c>
      <c r="AH9" t="str">
        <f>'附件4 规划外'!O93</f>
        <v>市民政局</v>
      </c>
      <c r="AI9" t="str">
        <f>'附件4 规划外'!P93</f>
        <v>通许县</v>
      </c>
      <c r="AJ9">
        <f>'附件4 规划外'!Q93</f>
        <v>0</v>
      </c>
      <c r="AK9">
        <f>'附件4 规划外'!R93</f>
        <v>0</v>
      </c>
    </row>
    <row r="10" spans="20:37">
      <c r="T10">
        <f>'附件4 规划外'!A94</f>
        <v>104</v>
      </c>
      <c r="U10" t="str">
        <f>'附件4 规划外'!B94</f>
        <v>祥符区救助管理站提升改造项目工程</v>
      </c>
      <c r="V10" t="str">
        <f>'附件4 规划外'!C94</f>
        <v>民政</v>
      </c>
      <c r="W10" t="str">
        <f>'附件4 规划外'!D94</f>
        <v>救助站重建，增设临时救助中心为受灾群众、临时陷入困境人员提供临时休息、救助等服务，购置救助车辆两台</v>
      </c>
      <c r="X10">
        <f>'附件4 规划外'!E94</f>
        <v>900</v>
      </c>
      <c r="Y10">
        <f>'附件4 规划外'!F94</f>
        <v>0</v>
      </c>
      <c r="Z10">
        <f>'附件4 规划外'!G94</f>
        <v>900</v>
      </c>
      <c r="AA10">
        <f>'附件4 规划外'!H94</f>
        <v>0</v>
      </c>
      <c r="AB10" t="str">
        <f>'附件4 规划外'!I94</f>
        <v>完工</v>
      </c>
      <c r="AC10">
        <f>'附件4 规划外'!J94</f>
        <v>900</v>
      </c>
      <c r="AD10">
        <f>'附件4 规划外'!K94</f>
        <v>900</v>
      </c>
      <c r="AE10" t="str">
        <f>'附件4 规划外'!L94</f>
        <v>已完工 </v>
      </c>
      <c r="AF10" s="26">
        <f>'附件4 规划外'!M94</f>
        <v>44531</v>
      </c>
      <c r="AG10" s="26">
        <f>'附件4 规划外'!N94</f>
        <v>44671</v>
      </c>
      <c r="AH10" t="str">
        <f>'附件4 规划外'!O94</f>
        <v>市民政局</v>
      </c>
      <c r="AI10" t="str">
        <f>'附件4 规划外'!P94</f>
        <v>祥符区</v>
      </c>
      <c r="AJ10">
        <f>'附件4 规划外'!Q94</f>
        <v>0</v>
      </c>
      <c r="AK10">
        <f>'附件4 规划外'!R94</f>
        <v>0</v>
      </c>
    </row>
    <row r="11" spans="20:37">
      <c r="T11">
        <f>'附件4 规划外'!A95</f>
        <v>105</v>
      </c>
      <c r="U11" t="str">
        <f>'附件4 规划外'!B95</f>
        <v>祥符区养老服务设施灾后恢复重建项目</v>
      </c>
      <c r="V11" t="str">
        <f>'附件4 规划外'!C95</f>
        <v>民政</v>
      </c>
      <c r="W11" t="str">
        <f>'附件4 规划外'!D95</f>
        <v>开封市祥符区综合养老服务中心项目；祥符区老年养护中心项目；敬老院提升改造项目；14个敬老院因水灾不同程度受损，需对14所敬老院进行房屋修缮、排水、线路、围墙、墙体粉刷等项目修建</v>
      </c>
      <c r="X11">
        <f>'附件4 规划外'!E95</f>
        <v>20377.26</v>
      </c>
      <c r="Y11">
        <f>'附件4 规划外'!F95</f>
        <v>0</v>
      </c>
      <c r="Z11">
        <f>'附件4 规划外'!G95</f>
        <v>20377.26</v>
      </c>
      <c r="AA11">
        <f>'附件4 规划外'!H95</f>
        <v>0</v>
      </c>
      <c r="AB11" t="str">
        <f>'附件4 规划外'!I95</f>
        <v>完工</v>
      </c>
      <c r="AC11">
        <f>'附件4 规划外'!J95</f>
        <v>20377.26</v>
      </c>
      <c r="AD11">
        <f>'附件4 规划外'!K95</f>
        <v>20377.26</v>
      </c>
      <c r="AE11" t="str">
        <f>'附件4 规划外'!L95</f>
        <v>已完工</v>
      </c>
      <c r="AF11" s="26">
        <f>'附件4 规划外'!M95</f>
        <v>44470</v>
      </c>
      <c r="AG11" s="26">
        <f>'附件4 规划外'!N95</f>
        <v>44671</v>
      </c>
      <c r="AH11" t="str">
        <f>'附件4 规划外'!O95</f>
        <v>市民政局</v>
      </c>
      <c r="AI11" t="str">
        <f>'附件4 规划外'!P95</f>
        <v>祥符区</v>
      </c>
      <c r="AJ11">
        <f>'附件4 规划外'!Q95</f>
        <v>0</v>
      </c>
      <c r="AK11">
        <f>'附件4 规划外'!R95</f>
        <v>0</v>
      </c>
    </row>
    <row r="12" spans="20:37">
      <c r="T12">
        <f>'附件4 规划外'!A96</f>
        <v>106</v>
      </c>
      <c r="U12" t="str">
        <f>'附件4 规划外'!B96</f>
        <v>柳园口乡敬老院重建</v>
      </c>
      <c r="V12" t="str">
        <f>'附件4 规划外'!C96</f>
        <v>民政</v>
      </c>
      <c r="W12" t="str">
        <f>'附件4 规划外'!D96</f>
        <v>敬老院地面提升，拆除扩建18间房屋，排水、道路硬化等基础配套设施</v>
      </c>
      <c r="X12">
        <f>'附件4 规划外'!E96</f>
        <v>128</v>
      </c>
      <c r="Y12">
        <f>'附件4 规划外'!F96</f>
        <v>70</v>
      </c>
      <c r="Z12">
        <f>'附件4 规划外'!G96</f>
        <v>58</v>
      </c>
      <c r="AA12">
        <f>'附件4 规划外'!H96</f>
        <v>0</v>
      </c>
      <c r="AB12" t="str">
        <f>'附件4 规划外'!I96</f>
        <v>完工</v>
      </c>
      <c r="AC12">
        <f>'附件4 规划外'!J96</f>
        <v>128</v>
      </c>
      <c r="AD12">
        <f>'附件4 规划外'!K96</f>
        <v>58</v>
      </c>
      <c r="AE12" t="str">
        <f>'附件4 规划外'!L96</f>
        <v>已完成事项基本情况：1.新建1号楼主体已完成；2.二标材料选购完毕；3.1#楼门窗安装完成90%；4.外墙涂料基本完成。</v>
      </c>
      <c r="AF12" s="26" t="str">
        <f>'附件4 规划外'!M96</f>
        <v>2021年11月</v>
      </c>
      <c r="AG12" s="26">
        <f>'附件4 规划外'!N96</f>
        <v>44834</v>
      </c>
      <c r="AH12" t="str">
        <f>'附件4 规划外'!O96</f>
        <v>市民政局</v>
      </c>
      <c r="AI12" t="str">
        <f>'附件4 规划外'!P96</f>
        <v>龙亭区</v>
      </c>
      <c r="AJ12" t="str">
        <f>'附件4 规划外'!Q96</f>
        <v>原址重建</v>
      </c>
      <c r="AK12">
        <f>'附件4 规划外'!R96</f>
        <v>0</v>
      </c>
    </row>
    <row r="13" spans="20:37">
      <c r="T13">
        <f>'附件4 规划外'!A97</f>
        <v>107</v>
      </c>
      <c r="U13" t="str">
        <f>'附件4 规划外'!B97</f>
        <v>顺河回族区养老服务设施灾后建设改造提升工程</v>
      </c>
      <c r="V13" t="str">
        <f>'附件4 规划外'!C97</f>
        <v>民政</v>
      </c>
      <c r="W13" t="str">
        <f>'附件4 规划外'!D97</f>
        <v>内电厂工业街道综合养老服务中心项目</v>
      </c>
      <c r="X13">
        <f>'附件4 规划外'!E97</f>
        <v>6000</v>
      </c>
      <c r="Y13">
        <f>'附件4 规划外'!F97</f>
        <v>0</v>
      </c>
      <c r="Z13">
        <f>'附件4 规划外'!G97</f>
        <v>6000</v>
      </c>
      <c r="AA13">
        <f>'附件4 规划外'!H97</f>
        <v>0</v>
      </c>
      <c r="AB13" t="str">
        <f>'附件4 规划外'!I97</f>
        <v>在建</v>
      </c>
      <c r="AC13">
        <f>'附件4 规划外'!J97</f>
        <v>5880</v>
      </c>
      <c r="AD13">
        <f>'附件4 规划外'!K97</f>
        <v>5880</v>
      </c>
      <c r="AE13" t="str">
        <f>'附件4 规划外'!L97</f>
        <v>主体面积6000平方已完工，外墙装修已完工、内部水电安装已完工</v>
      </c>
      <c r="AF13" s="26">
        <f>'附件4 规划外'!M97</f>
        <v>44743</v>
      </c>
      <c r="AG13" s="26">
        <f>'附件4 规划外'!N97</f>
        <v>44896</v>
      </c>
      <c r="AH13" t="str">
        <f>'附件4 规划外'!O97</f>
        <v>市民政局</v>
      </c>
      <c r="AI13" t="str">
        <f>'附件4 规划外'!P97</f>
        <v>顺河回族区</v>
      </c>
      <c r="AJ13">
        <f>'附件4 规划外'!Q97</f>
        <v>36.6</v>
      </c>
      <c r="AK13">
        <f>'附件4 规划外'!R97</f>
        <v>0</v>
      </c>
    </row>
    <row r="14" spans="20:37">
      <c r="T14">
        <f>'附件4 规划外'!A98</f>
        <v>108</v>
      </c>
      <c r="U14" t="str">
        <f>'附件4 规划外'!B98</f>
        <v>顺河回族区应急救援中心暨养老院医养结合项目</v>
      </c>
      <c r="V14" t="str">
        <f>'附件4 规划外'!C98</f>
        <v>民政</v>
      </c>
      <c r="W14" t="str">
        <f>'附件4 规划外'!D98</f>
        <v>汴京路与东昌路交叉口建设疾控中心项目</v>
      </c>
      <c r="X14">
        <f>'附件4 规划外'!E98</f>
        <v>7500</v>
      </c>
      <c r="Y14">
        <f>'附件4 规划外'!F98</f>
        <v>0</v>
      </c>
      <c r="Z14">
        <f>'附件4 规划外'!G98</f>
        <v>7500</v>
      </c>
      <c r="AA14">
        <f>'附件4 规划外'!H98</f>
        <v>0</v>
      </c>
      <c r="AB14" t="str">
        <f>'附件4 规划外'!I98</f>
        <v>在建</v>
      </c>
      <c r="AC14">
        <f>'附件4 规划外'!J98</f>
        <v>7275</v>
      </c>
      <c r="AD14">
        <f>'附件4 规划外'!K98</f>
        <v>7275</v>
      </c>
      <c r="AE14" t="str">
        <f>'附件4 规划外'!L98</f>
        <v>主体面积4000平方已完工</v>
      </c>
      <c r="AF14" s="26">
        <f>'附件4 规划外'!M98</f>
        <v>44743</v>
      </c>
      <c r="AG14" s="26">
        <f>'附件4 规划外'!N98</f>
        <v>44896</v>
      </c>
      <c r="AH14" t="str">
        <f>'附件4 规划外'!O98</f>
        <v>市民政局</v>
      </c>
      <c r="AI14" t="str">
        <f>'附件4 规划外'!P98</f>
        <v>顺河回族区</v>
      </c>
      <c r="AJ14">
        <f>'附件4 规划外'!Q98</f>
        <v>6</v>
      </c>
      <c r="AK14">
        <f>'附件4 规划外'!R98</f>
        <v>0</v>
      </c>
    </row>
    <row r="15" spans="20:37">
      <c r="T15">
        <f>'附件4 规划外'!A99</f>
        <v>109</v>
      </c>
      <c r="U15" t="str">
        <f>'附件4 规划外'!B99</f>
        <v>开封市公益性公墓</v>
      </c>
      <c r="V15" t="str">
        <f>'附件4 规划外'!C99</f>
        <v>民政</v>
      </c>
      <c r="W15" t="str">
        <f>'附件4 规划外'!D99</f>
        <v>开封市公益性公墓位于陇海九路以南、二十一大街以西，占地200亩，总建筑面积3287平方米，共设置9个墓区，规划墓位总数47452个</v>
      </c>
      <c r="X15">
        <f>'附件4 规划外'!E99</f>
        <v>6015</v>
      </c>
      <c r="Y15">
        <f>'附件4 规划外'!F99</f>
        <v>2313.4</v>
      </c>
      <c r="Z15">
        <f>'附件4 规划外'!G99</f>
        <v>3701.6</v>
      </c>
      <c r="AA15">
        <f>'附件4 规划外'!H99</f>
        <v>0</v>
      </c>
      <c r="AB15" t="str">
        <f>'附件4 规划外'!I99</f>
        <v>完工</v>
      </c>
      <c r="AC15">
        <f>'附件4 规划外'!J99</f>
        <v>6015</v>
      </c>
      <c r="AD15">
        <f>'附件4 规划外'!K99</f>
        <v>3701.6</v>
      </c>
      <c r="AE15" t="str">
        <f>'附件4 规划外'!L99</f>
        <v>已完工</v>
      </c>
      <c r="AF15" s="26">
        <f>'附件4 规划外'!M99</f>
        <v>44470</v>
      </c>
      <c r="AG15" s="26">
        <f>'附件4 规划外'!N99</f>
        <v>44682</v>
      </c>
      <c r="AH15" t="str">
        <f>'附件4 规划外'!O99</f>
        <v>市民政局</v>
      </c>
      <c r="AI15" t="str">
        <f>'附件4 规划外'!P99</f>
        <v>市本级</v>
      </c>
      <c r="AJ15">
        <f>'附件4 规划外'!Q99</f>
        <v>0</v>
      </c>
      <c r="AK15">
        <f>'附件4 规划外'!R99</f>
        <v>0</v>
      </c>
    </row>
    <row r="16" spans="20:37">
      <c r="T16" s="27" t="str">
        <f>'附件4 规划外'!A100</f>
        <v>110-111</v>
      </c>
      <c r="U16" s="27" t="str">
        <f>'附件4 规划外'!B100</f>
        <v>开封市街道（社区）综合养老服务中心项目（一期）</v>
      </c>
      <c r="V16" s="27" t="str">
        <f>'附件4 规划外'!C100</f>
        <v>民政</v>
      </c>
      <c r="W16" s="27" t="str">
        <f>'附件4 规划外'!D100</f>
        <v>1.6个街道级养老机构消防加装、电梯、装修改造。
2.4个社区级养老机构消防加装、电梯、装修改造。</v>
      </c>
      <c r="X16" s="27">
        <f>'附件4 规划外'!E100</f>
        <v>7000</v>
      </c>
      <c r="Y16" s="27">
        <f>'附件4 规划外'!F100</f>
        <v>0</v>
      </c>
      <c r="Z16" s="27">
        <f>'附件4 规划外'!G100</f>
        <v>7000</v>
      </c>
      <c r="AA16" s="27">
        <f>'附件4 规划外'!H100</f>
        <v>0</v>
      </c>
      <c r="AB16" s="27" t="str">
        <f>'附件4 规划外'!I100</f>
        <v>在建</v>
      </c>
      <c r="AC16" s="27">
        <f>'附件4 规划外'!J100</f>
        <v>6100</v>
      </c>
      <c r="AD16" s="27">
        <f>'附件4 规划外'!K100</f>
        <v>6100</v>
      </c>
      <c r="AE16" s="27" t="str">
        <f>'附件4 规划外'!L100</f>
        <v>未开工</v>
      </c>
      <c r="AF16" s="28">
        <f>'附件4 规划外'!M100</f>
        <v>44682</v>
      </c>
      <c r="AG16" s="28">
        <f>'附件4 规划外'!N100</f>
        <v>44896</v>
      </c>
      <c r="AH16" s="27" t="str">
        <f>'附件4 规划外'!O100</f>
        <v>市民政局</v>
      </c>
      <c r="AI16" s="27" t="str">
        <f>'附件4 规划外'!P100</f>
        <v>市本级</v>
      </c>
      <c r="AJ16" s="27">
        <f>'附件4 规划外'!Q100</f>
        <v>0</v>
      </c>
      <c r="AK16" s="27">
        <f>'附件4 规划外'!R100</f>
        <v>0</v>
      </c>
    </row>
  </sheetData>
  <sheetProtection formatCells="0" formatColumns="0" formatRows="0" sort="0" autoFilter="0"/>
  <autoFilter ref="A6:AK16">
    <extLst/>
  </autoFilter>
  <mergeCells count="5">
    <mergeCell ref="A1:G1"/>
    <mergeCell ref="H1:N1"/>
    <mergeCell ref="O1:U1"/>
    <mergeCell ref="A5:R5"/>
    <mergeCell ref="T5:AK5"/>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4"/>
  <sheetViews>
    <sheetView zoomScale="90" zoomScaleNormal="90" workbookViewId="0">
      <pane ySplit="6" topLeftCell="A7" activePane="bottomLeft" state="frozen"/>
      <selection/>
      <selection pane="bottomLeft" activeCell="Q16" sqref="Q16"/>
    </sheetView>
  </sheetViews>
  <sheetFormatPr defaultColWidth="9" defaultRowHeight="13.5"/>
  <cols>
    <col min="13" max="13" width="10.6333333333333" customWidth="1"/>
    <col min="14" max="14" width="11.9083333333333" customWidth="1"/>
  </cols>
  <sheetData>
    <row r="1" ht="14.15" customHeight="1" spans="1:21">
      <c r="A1" s="2" t="s">
        <v>1292</v>
      </c>
      <c r="B1" s="3"/>
      <c r="C1" s="3"/>
      <c r="D1" s="3"/>
      <c r="E1" s="3"/>
      <c r="F1" s="3"/>
      <c r="G1" s="4"/>
      <c r="H1" s="5" t="s">
        <v>1293</v>
      </c>
      <c r="I1" s="5"/>
      <c r="J1" s="5"/>
      <c r="K1" s="5"/>
      <c r="L1" s="5"/>
      <c r="M1" s="5"/>
      <c r="N1" s="5"/>
      <c r="O1" s="16" t="s">
        <v>1294</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8</v>
      </c>
      <c r="C3" s="10">
        <f t="shared" ref="C3:F4" si="0">J3+Q3</f>
        <v>83.3</v>
      </c>
      <c r="D3" s="10">
        <f t="shared" si="0"/>
        <v>8</v>
      </c>
      <c r="E3" s="10">
        <f t="shared" si="0"/>
        <v>8</v>
      </c>
      <c r="F3" s="10">
        <f t="shared" si="0"/>
        <v>83.3</v>
      </c>
      <c r="G3" s="11">
        <f>IF(C3=0,"-",ROUND(F3/C3,3))</f>
        <v>1</v>
      </c>
      <c r="H3" s="8" t="s">
        <v>1146</v>
      </c>
      <c r="I3" s="17">
        <f>COUNT(E7:E122)</f>
        <v>8</v>
      </c>
      <c r="J3" s="21">
        <f>SUM(E7:E122)</f>
        <v>83.3</v>
      </c>
      <c r="K3" s="21">
        <f>COUNTIF(I7:I122,"在建")+COUNTIF(I7:I122,"完工")</f>
        <v>8</v>
      </c>
      <c r="L3" s="21">
        <f>COUNTIF(I7:I122,"完工")</f>
        <v>8</v>
      </c>
      <c r="M3" s="17">
        <f>SUM(J7:J122)</f>
        <v>83.3</v>
      </c>
      <c r="N3" s="22">
        <f>IF(J3=0,"-",ROUND(M3/J3,3))</f>
        <v>1</v>
      </c>
      <c r="O3" s="19" t="s">
        <v>1146</v>
      </c>
      <c r="P3" s="20">
        <f>COUNT(X7:X122)</f>
        <v>0</v>
      </c>
      <c r="Q3" s="24">
        <f>SUM(X7:X122)</f>
        <v>0</v>
      </c>
      <c r="R3" s="24">
        <f>COUNTIF(AB7:AB122,"在建")+COUNTIF(AB7:AB122,"完工")</f>
        <v>0</v>
      </c>
      <c r="S3" s="24">
        <f>COUNTIF(AB7:AB122,"完工")</f>
        <v>0</v>
      </c>
      <c r="T3" s="20">
        <f>SUM(AC7:AC122)</f>
        <v>0</v>
      </c>
      <c r="U3" s="25" t="str">
        <f>IF(Q3=0,"-",ROUND(T3/Q3,3))</f>
        <v>-</v>
      </c>
    </row>
    <row r="4" s="1" customFormat="1" ht="27" spans="1:21">
      <c r="A4" s="9" t="s">
        <v>1147</v>
      </c>
      <c r="B4" s="10">
        <f>I4+P4</f>
        <v>1</v>
      </c>
      <c r="C4" s="10">
        <f t="shared" si="0"/>
        <v>10</v>
      </c>
      <c r="D4" s="10">
        <f t="shared" si="0"/>
        <v>1</v>
      </c>
      <c r="E4" s="10">
        <f t="shared" si="0"/>
        <v>1</v>
      </c>
      <c r="F4" s="10">
        <f t="shared" si="0"/>
        <v>10</v>
      </c>
      <c r="G4" s="12">
        <f>IF(C4=0,"-",ROUND(F4/C4,3))</f>
        <v>1</v>
      </c>
      <c r="H4" s="8" t="s">
        <v>1148</v>
      </c>
      <c r="I4" s="17">
        <f>COUNTIF(G7:G122,"&gt;0")</f>
        <v>1</v>
      </c>
      <c r="J4" s="21">
        <f>SUM(G7:G122)</f>
        <v>10</v>
      </c>
      <c r="K4" s="21">
        <f>COUNTIFS(G7:G122,"&gt;0",I7:I122,"完工")+COUNTIFS(G7:G122,"&gt;0",I7:I122,"在建")</f>
        <v>1</v>
      </c>
      <c r="L4" s="21">
        <f>COUNTIFS(G7:G122,"&gt;0",I7:I122,"完工")</f>
        <v>1</v>
      </c>
      <c r="M4" s="17">
        <f>SUM(K7:K122)</f>
        <v>10</v>
      </c>
      <c r="N4" s="22">
        <f>IF(J4=0,"-",ROUND(M4/J4,3))</f>
        <v>1</v>
      </c>
      <c r="O4" s="19" t="s">
        <v>1148</v>
      </c>
      <c r="P4" s="20">
        <f>COUNTIF(Z7:Z122,"&gt;0")</f>
        <v>0</v>
      </c>
      <c r="Q4" s="24">
        <f>SUM(Z7:Z122)</f>
        <v>0</v>
      </c>
      <c r="R4" s="24">
        <f>COUNTIFS(Z7:Z122,"&gt;0",AB7:AB122,"完工")+COUNTIFS(Z7:Z122,"&gt;0",AB7:AB122,"在建")</f>
        <v>0</v>
      </c>
      <c r="S4" s="24">
        <f>COUNTIFS(Z7:Z122,"&gt;0",AB7:AB122,"完工")</f>
        <v>0</v>
      </c>
      <c r="T4" s="20">
        <f>SUM(AD7:AD122)</f>
        <v>0</v>
      </c>
      <c r="U4" s="25" t="str">
        <f>IF(Q4=0,"-",ROUND(T4/Q4,3))</f>
        <v>-</v>
      </c>
    </row>
    <row r="5" s="1" customFormat="1" spans="1:37">
      <c r="A5" s="13" t="s">
        <v>1295</v>
      </c>
      <c r="B5" s="14"/>
      <c r="C5" s="14"/>
      <c r="D5" s="14"/>
      <c r="E5" s="14"/>
      <c r="F5" s="14"/>
      <c r="G5" s="14"/>
      <c r="H5" s="14"/>
      <c r="I5" s="14"/>
      <c r="J5" s="14"/>
      <c r="K5" s="14"/>
      <c r="L5" s="14"/>
      <c r="M5" s="14"/>
      <c r="N5" s="14"/>
      <c r="O5" s="14"/>
      <c r="P5" s="14"/>
      <c r="Q5" s="14"/>
      <c r="R5" s="14"/>
      <c r="T5" s="13" t="s">
        <v>1296</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1:18">
      <c r="A7">
        <f>'附件3 规划内'!A89</f>
        <v>88</v>
      </c>
      <c r="B7" t="str">
        <f>'附件3 规划内'!B89</f>
        <v>中薛线输气管道</v>
      </c>
      <c r="C7" t="str">
        <f>'附件3 规划内'!C89</f>
        <v>能源</v>
      </c>
      <c r="D7" t="str">
        <f>'附件3 规划内'!D89</f>
        <v>清理涵洞内淤泥，拆除原有入口，重新修筑</v>
      </c>
      <c r="E7">
        <f>'附件3 规划内'!E89</f>
        <v>10</v>
      </c>
      <c r="F7">
        <f>'附件3 规划内'!F89</f>
        <v>0</v>
      </c>
      <c r="G7">
        <f>'附件3 规划内'!G89</f>
        <v>10</v>
      </c>
      <c r="H7">
        <f>'附件3 规划内'!H89</f>
        <v>0</v>
      </c>
      <c r="I7" t="str">
        <f>'附件3 规划内'!I89</f>
        <v>完工</v>
      </c>
      <c r="J7">
        <f>'附件3 规划内'!J89</f>
        <v>10</v>
      </c>
      <c r="K7">
        <f>'附件3 规划内'!K89</f>
        <v>10</v>
      </c>
      <c r="L7">
        <f>'附件3 规划内'!L89</f>
        <v>0</v>
      </c>
      <c r="M7" s="26">
        <f>'附件3 规划内'!M89</f>
        <v>44440</v>
      </c>
      <c r="N7" s="26">
        <f>'附件3 规划内'!N89</f>
        <v>44561</v>
      </c>
      <c r="O7" t="str">
        <f>'附件3 规划内'!O89</f>
        <v>市发展改革委</v>
      </c>
      <c r="P7" t="str">
        <f>'附件3 规划内'!P89</f>
        <v>市本级</v>
      </c>
      <c r="Q7">
        <f>'附件3 规划内'!Q89</f>
        <v>0</v>
      </c>
      <c r="R7">
        <f>'附件3 规划内'!R89</f>
        <v>0</v>
      </c>
    </row>
    <row r="8" spans="1:18">
      <c r="A8">
        <f>'附件3 规划内'!A90</f>
        <v>89</v>
      </c>
      <c r="B8" t="str">
        <f>'附件3 规划内'!B90</f>
        <v>中薛线输气管道</v>
      </c>
      <c r="C8" t="str">
        <f>'附件3 规划内'!C90</f>
        <v>能源</v>
      </c>
      <c r="D8" t="str">
        <f>'附件3 规划内'!D90</f>
        <v>土方分层回填压实</v>
      </c>
      <c r="E8">
        <f>'附件3 规划内'!E90</f>
        <v>9</v>
      </c>
      <c r="F8">
        <f>'附件3 规划内'!F90</f>
        <v>9</v>
      </c>
      <c r="G8">
        <f>'附件3 规划内'!G90</f>
        <v>0</v>
      </c>
      <c r="H8">
        <f>'附件3 规划内'!H90</f>
        <v>0</v>
      </c>
      <c r="I8" t="str">
        <f>'附件3 规划内'!I90</f>
        <v>完工</v>
      </c>
      <c r="J8">
        <f>'附件3 规划内'!J90</f>
        <v>9</v>
      </c>
      <c r="K8" t="str">
        <f>'附件3 规划内'!K90</f>
        <v/>
      </c>
      <c r="L8">
        <f>'附件3 规划内'!L90</f>
        <v>0</v>
      </c>
      <c r="M8" s="26">
        <f>'附件3 规划内'!M90</f>
        <v>44409</v>
      </c>
      <c r="N8" s="26">
        <f>'附件3 规划内'!N90</f>
        <v>44409</v>
      </c>
      <c r="O8" t="str">
        <f>'附件3 规划内'!O90</f>
        <v>市发展改革委</v>
      </c>
      <c r="P8" t="str">
        <f>'附件3 规划内'!P90</f>
        <v>市本级</v>
      </c>
      <c r="Q8">
        <f>'附件3 规划内'!Q90</f>
        <v>0</v>
      </c>
      <c r="R8">
        <f>'附件3 规划内'!R90</f>
        <v>0</v>
      </c>
    </row>
    <row r="9" spans="1:18">
      <c r="A9">
        <f>'附件3 规划内'!A91</f>
        <v>90</v>
      </c>
      <c r="B9" t="str">
        <f>'附件3 规划内'!B91</f>
        <v>中薛线输气管道</v>
      </c>
      <c r="C9" t="str">
        <f>'附件3 规划内'!C91</f>
        <v>能源</v>
      </c>
      <c r="D9" t="str">
        <f>'附件3 规划内'!D91</f>
        <v>拆除原有水保，重新修筑水工保护</v>
      </c>
      <c r="E9">
        <f>'附件3 规划内'!E91</f>
        <v>5.5</v>
      </c>
      <c r="F9">
        <f>'附件3 规划内'!F91</f>
        <v>5.5</v>
      </c>
      <c r="G9">
        <f>'附件3 规划内'!G91</f>
        <v>0</v>
      </c>
      <c r="H9">
        <f>'附件3 规划内'!H91</f>
        <v>0</v>
      </c>
      <c r="I9" t="str">
        <f>'附件3 规划内'!I91</f>
        <v>完工</v>
      </c>
      <c r="J9">
        <f>'附件3 规划内'!J91</f>
        <v>5.5</v>
      </c>
      <c r="K9" t="str">
        <f>'附件3 规划内'!K91</f>
        <v/>
      </c>
      <c r="L9">
        <f>'附件3 规划内'!L91</f>
        <v>0</v>
      </c>
      <c r="M9" s="26">
        <f>'附件3 规划内'!M91</f>
        <v>44440</v>
      </c>
      <c r="N9" s="26">
        <f>'附件3 规划内'!N91</f>
        <v>44440</v>
      </c>
      <c r="O9" t="str">
        <f>'附件3 规划内'!O91</f>
        <v>市发展改革委</v>
      </c>
      <c r="P9" t="str">
        <f>'附件3 规划内'!P91</f>
        <v>市本级</v>
      </c>
      <c r="Q9">
        <f>'附件3 规划内'!Q91</f>
        <v>0</v>
      </c>
      <c r="R9">
        <f>'附件3 规划内'!R91</f>
        <v>0</v>
      </c>
    </row>
    <row r="10" spans="1:18">
      <c r="A10">
        <f>'附件3 规划内'!A92</f>
        <v>91</v>
      </c>
      <c r="B10" t="str">
        <f>'附件3 规划内'!B92</f>
        <v>中薛线输气管道</v>
      </c>
      <c r="C10" t="str">
        <f>'附件3 规划内'!C92</f>
        <v>能源</v>
      </c>
      <c r="D10" t="str">
        <f>'附件3 规划内'!D92</f>
        <v>土方分层回填压实</v>
      </c>
      <c r="E10">
        <f>'附件3 规划内'!E92</f>
        <v>6</v>
      </c>
      <c r="F10">
        <f>'附件3 规划内'!F92</f>
        <v>6</v>
      </c>
      <c r="G10">
        <f>'附件3 规划内'!G92</f>
        <v>0</v>
      </c>
      <c r="H10">
        <f>'附件3 规划内'!H92</f>
        <v>0</v>
      </c>
      <c r="I10" t="str">
        <f>'附件3 规划内'!I92</f>
        <v>完工</v>
      </c>
      <c r="J10">
        <f>'附件3 规划内'!J92</f>
        <v>6</v>
      </c>
      <c r="K10" t="str">
        <f>'附件3 规划内'!K92</f>
        <v/>
      </c>
      <c r="L10">
        <f>'附件3 规划内'!L92</f>
        <v>0</v>
      </c>
      <c r="M10" s="26">
        <f>'附件3 规划内'!M92</f>
        <v>44409</v>
      </c>
      <c r="N10" s="26">
        <f>'附件3 规划内'!N92</f>
        <v>44409</v>
      </c>
      <c r="O10" t="str">
        <f>'附件3 规划内'!O92</f>
        <v>市发展改革委</v>
      </c>
      <c r="P10" t="str">
        <f>'附件3 规划内'!P92</f>
        <v>市本级</v>
      </c>
      <c r="Q10">
        <f>'附件3 规划内'!Q92</f>
        <v>0</v>
      </c>
      <c r="R10">
        <f>'附件3 规划内'!R92</f>
        <v>0</v>
      </c>
    </row>
    <row r="11" spans="1:18">
      <c r="A11">
        <f>'附件3 规划内'!A93</f>
        <v>92</v>
      </c>
      <c r="B11" t="str">
        <f>'附件3 规划内'!B93</f>
        <v>中薛线输气管道</v>
      </c>
      <c r="C11" t="str">
        <f>'附件3 规划内'!C93</f>
        <v>能源</v>
      </c>
      <c r="D11" t="str">
        <f>'附件3 规划内'!D93</f>
        <v>土方分层回填压实</v>
      </c>
      <c r="E11">
        <f>'附件3 规划内'!E93</f>
        <v>31</v>
      </c>
      <c r="F11">
        <f>'附件3 规划内'!F93</f>
        <v>31</v>
      </c>
      <c r="G11">
        <f>'附件3 规划内'!G93</f>
        <v>0</v>
      </c>
      <c r="H11">
        <f>'附件3 规划内'!H93</f>
        <v>0</v>
      </c>
      <c r="I11" t="str">
        <f>'附件3 规划内'!I93</f>
        <v>完工</v>
      </c>
      <c r="J11">
        <f>'附件3 规划内'!J93</f>
        <v>31</v>
      </c>
      <c r="K11" t="str">
        <f>'附件3 规划内'!K93</f>
        <v/>
      </c>
      <c r="L11">
        <f>'附件3 规划内'!L93</f>
        <v>0</v>
      </c>
      <c r="M11" s="26">
        <f>'附件3 规划内'!M93</f>
        <v>44409</v>
      </c>
      <c r="N11" s="26">
        <f>'附件3 规划内'!N93</f>
        <v>44409</v>
      </c>
      <c r="O11" t="str">
        <f>'附件3 规划内'!O93</f>
        <v>市发展改革委</v>
      </c>
      <c r="P11" t="str">
        <f>'附件3 规划内'!P93</f>
        <v>市本级</v>
      </c>
      <c r="Q11">
        <f>'附件3 规划内'!Q93</f>
        <v>0</v>
      </c>
      <c r="R11">
        <f>'附件3 规划内'!R93</f>
        <v>0</v>
      </c>
    </row>
    <row r="12" spans="1:18">
      <c r="A12">
        <f>'附件3 规划内'!A94</f>
        <v>93</v>
      </c>
      <c r="B12" t="str">
        <f>'附件3 规划内'!B94</f>
        <v>中薛线输气管道</v>
      </c>
      <c r="C12" t="str">
        <f>'附件3 规划内'!C94</f>
        <v>能源</v>
      </c>
      <c r="D12" t="str">
        <f>'附件3 规划内'!D94</f>
        <v>土方分层回填压实</v>
      </c>
      <c r="E12">
        <f>'附件3 规划内'!E94</f>
        <v>3.5</v>
      </c>
      <c r="F12">
        <f>'附件3 规划内'!F94</f>
        <v>3.5</v>
      </c>
      <c r="G12">
        <f>'附件3 规划内'!G94</f>
        <v>0</v>
      </c>
      <c r="H12">
        <f>'附件3 规划内'!H94</f>
        <v>0</v>
      </c>
      <c r="I12" t="str">
        <f>'附件3 规划内'!I94</f>
        <v>完工</v>
      </c>
      <c r="J12">
        <f>'附件3 规划内'!J94</f>
        <v>3.5</v>
      </c>
      <c r="K12" t="str">
        <f>'附件3 规划内'!K94</f>
        <v/>
      </c>
      <c r="L12">
        <f>'附件3 规划内'!L94</f>
        <v>0</v>
      </c>
      <c r="M12" s="26">
        <f>'附件3 规划内'!M94</f>
        <v>44409</v>
      </c>
      <c r="N12" s="26">
        <f>'附件3 规划内'!N94</f>
        <v>44409</v>
      </c>
      <c r="O12" t="str">
        <f>'附件3 规划内'!O94</f>
        <v>市发展改革委</v>
      </c>
      <c r="P12" t="str">
        <f>'附件3 规划内'!P94</f>
        <v>市本级</v>
      </c>
      <c r="Q12">
        <f>'附件3 规划内'!Q94</f>
        <v>0</v>
      </c>
      <c r="R12">
        <f>'附件3 规划内'!R94</f>
        <v>0</v>
      </c>
    </row>
    <row r="13" spans="1:18">
      <c r="A13">
        <f>'附件3 规划内'!A95</f>
        <v>94</v>
      </c>
      <c r="B13" t="str">
        <f>'附件3 规划内'!B95</f>
        <v>中薛线输气管道</v>
      </c>
      <c r="C13" t="str">
        <f>'附件3 规划内'!C95</f>
        <v>能源</v>
      </c>
      <c r="D13" t="str">
        <f>'附件3 规划内'!D95</f>
        <v>土方分层回填压实</v>
      </c>
      <c r="E13">
        <f>'附件3 规划内'!E95</f>
        <v>2.3</v>
      </c>
      <c r="F13">
        <f>'附件3 规划内'!F95</f>
        <v>2.3</v>
      </c>
      <c r="G13">
        <f>'附件3 规划内'!G95</f>
        <v>0</v>
      </c>
      <c r="H13">
        <f>'附件3 规划内'!H95</f>
        <v>0</v>
      </c>
      <c r="I13" t="str">
        <f>'附件3 规划内'!I95</f>
        <v>完工</v>
      </c>
      <c r="J13">
        <f>'附件3 规划内'!J95</f>
        <v>2.3</v>
      </c>
      <c r="K13" t="str">
        <f>'附件3 规划内'!K95</f>
        <v/>
      </c>
      <c r="L13">
        <f>'附件3 规划内'!L95</f>
        <v>0</v>
      </c>
      <c r="M13" s="26">
        <f>'附件3 规划内'!M95</f>
        <v>44409</v>
      </c>
      <c r="N13" s="26">
        <f>'附件3 规划内'!N95</f>
        <v>44409</v>
      </c>
      <c r="O13" t="str">
        <f>'附件3 规划内'!O95</f>
        <v>市发展改革委</v>
      </c>
      <c r="P13" t="str">
        <f>'附件3 规划内'!P95</f>
        <v>市本级</v>
      </c>
      <c r="Q13">
        <f>'附件3 规划内'!Q95</f>
        <v>0</v>
      </c>
      <c r="R13">
        <f>'附件3 规划内'!R95</f>
        <v>0</v>
      </c>
    </row>
    <row r="14" spans="1:18">
      <c r="A14">
        <f>'附件3 规划内'!A96</f>
        <v>95</v>
      </c>
      <c r="B14" t="str">
        <f>'附件3 规划内'!B96</f>
        <v>开许线</v>
      </c>
      <c r="C14" t="str">
        <f>'附件3 规划内'!C96</f>
        <v>能源</v>
      </c>
      <c r="D14" t="str">
        <f>'附件3 规划内'!D96</f>
        <v>管道上方三处水土流失。</v>
      </c>
      <c r="E14">
        <f>'附件3 规划内'!E96</f>
        <v>16</v>
      </c>
      <c r="F14">
        <f>'附件3 规划内'!F96</f>
        <v>16</v>
      </c>
      <c r="G14">
        <f>'附件3 规划内'!G96</f>
        <v>0</v>
      </c>
      <c r="H14">
        <f>'附件3 规划内'!H96</f>
        <v>0</v>
      </c>
      <c r="I14" t="str">
        <f>'附件3 规划内'!I96</f>
        <v>完工</v>
      </c>
      <c r="J14">
        <f>'附件3 规划内'!J96</f>
        <v>16</v>
      </c>
      <c r="K14" t="str">
        <f>'附件3 规划内'!K96</f>
        <v/>
      </c>
      <c r="L14">
        <f>'附件3 规划内'!L96</f>
        <v>0</v>
      </c>
      <c r="M14" s="26">
        <f>'附件3 规划内'!M96</f>
        <v>44440</v>
      </c>
      <c r="N14" s="26">
        <f>'附件3 规划内'!N96</f>
        <v>44561</v>
      </c>
      <c r="O14" t="str">
        <f>'附件3 规划内'!O96</f>
        <v>市发展改革委</v>
      </c>
      <c r="P14" t="str">
        <f>'附件3 规划内'!P96</f>
        <v>市本级</v>
      </c>
      <c r="Q14">
        <f>'附件3 规划内'!Q96</f>
        <v>0</v>
      </c>
      <c r="R14">
        <f>'附件3 规划内'!R96</f>
        <v>0</v>
      </c>
    </row>
  </sheetData>
  <sheetProtection sheet="1" formatCells="0" formatColumns="0" formatRows="0" sort="0" autoFilter="0" objects="1" scenarios="1"/>
  <autoFilter ref="A6:AK14">
    <extLst/>
  </autoFilter>
  <mergeCells count="5">
    <mergeCell ref="A1:G1"/>
    <mergeCell ref="H1:N1"/>
    <mergeCell ref="O1:U1"/>
    <mergeCell ref="A5:R5"/>
    <mergeCell ref="T5:AK5"/>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79"/>
  <sheetViews>
    <sheetView zoomScale="90" zoomScaleNormal="90" workbookViewId="0">
      <pane ySplit="6" topLeftCell="A7" activePane="bottomLeft" state="frozen"/>
      <selection/>
      <selection pane="bottomLeft" activeCell="Q16" sqref="Q16"/>
    </sheetView>
  </sheetViews>
  <sheetFormatPr defaultColWidth="9" defaultRowHeight="13.5"/>
  <cols>
    <col min="32" max="33" width="10.6333333333333" customWidth="1"/>
  </cols>
  <sheetData>
    <row r="1" ht="14.15" customHeight="1" spans="1:21">
      <c r="A1" s="2" t="s">
        <v>1297</v>
      </c>
      <c r="B1" s="3"/>
      <c r="C1" s="3"/>
      <c r="D1" s="3"/>
      <c r="E1" s="3"/>
      <c r="F1" s="3"/>
      <c r="G1" s="4"/>
      <c r="H1" s="5" t="s">
        <v>1298</v>
      </c>
      <c r="I1" s="5"/>
      <c r="J1" s="5"/>
      <c r="K1" s="5"/>
      <c r="L1" s="5"/>
      <c r="M1" s="5"/>
      <c r="N1" s="5"/>
      <c r="O1" s="16" t="s">
        <v>1299</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72</v>
      </c>
      <c r="C3" s="10">
        <f t="shared" ref="C3:F4" si="0">J3+Q3</f>
        <v>1832.1002</v>
      </c>
      <c r="D3" s="10">
        <f t="shared" si="0"/>
        <v>72</v>
      </c>
      <c r="E3" s="10">
        <f t="shared" si="0"/>
        <v>72</v>
      </c>
      <c r="F3" s="10">
        <f t="shared" si="0"/>
        <v>1832.1002</v>
      </c>
      <c r="G3" s="11">
        <f>IF(C3=0,"-",ROUND(F3/C3,3))</f>
        <v>1</v>
      </c>
      <c r="H3" s="8" t="s">
        <v>1146</v>
      </c>
      <c r="I3" s="17">
        <f>COUNT(E7:E122)</f>
        <v>0</v>
      </c>
      <c r="J3" s="21">
        <f>SUM(E7:E122)</f>
        <v>0</v>
      </c>
      <c r="K3" s="21">
        <f>COUNTIF(I7:I122,"在建")+COUNTIF(I7:I122,"完工")</f>
        <v>0</v>
      </c>
      <c r="L3" s="21">
        <f>COUNTIF(I7:I122,"完工")</f>
        <v>0</v>
      </c>
      <c r="M3" s="17">
        <f>SUM(J7:J122)</f>
        <v>0</v>
      </c>
      <c r="N3" s="22" t="str">
        <f>IF(J3=0,"-",ROUND(M3/J3,3))</f>
        <v>-</v>
      </c>
      <c r="O3" s="19" t="s">
        <v>1146</v>
      </c>
      <c r="P3" s="20">
        <f>COUNT(X7:X122)</f>
        <v>72</v>
      </c>
      <c r="Q3" s="24">
        <f>SUM(X7:X122)</f>
        <v>1832.1002</v>
      </c>
      <c r="R3" s="24">
        <f>COUNTIF(AB7:AB122,"在建")+COUNTIF(AB7:AB122,"完工")</f>
        <v>72</v>
      </c>
      <c r="S3" s="24">
        <f>COUNTIF(AB7:AB122,"完工")</f>
        <v>72</v>
      </c>
      <c r="T3" s="20">
        <f>SUM(AC7:AC122)</f>
        <v>1832.1002</v>
      </c>
      <c r="U3" s="25">
        <f>IF(Q3=0,"-",ROUND(T3/Q3,3))</f>
        <v>1</v>
      </c>
    </row>
    <row r="4" s="1" customFormat="1" ht="27" spans="1:21">
      <c r="A4" s="9" t="s">
        <v>1147</v>
      </c>
      <c r="B4" s="10">
        <f>I4+P4</f>
        <v>0</v>
      </c>
      <c r="C4" s="10">
        <f t="shared" si="0"/>
        <v>0</v>
      </c>
      <c r="D4" s="10">
        <f t="shared" si="0"/>
        <v>0</v>
      </c>
      <c r="E4" s="10">
        <f t="shared" si="0"/>
        <v>0</v>
      </c>
      <c r="F4" s="10">
        <f t="shared" si="0"/>
        <v>0</v>
      </c>
      <c r="G4" s="12" t="str">
        <f>IF(C4=0,"-",ROUND(F4/C4,3))</f>
        <v>-</v>
      </c>
      <c r="H4" s="8" t="s">
        <v>1148</v>
      </c>
      <c r="I4" s="17">
        <f>COUNTIF(G7:G122,"&gt;0")</f>
        <v>0</v>
      </c>
      <c r="J4" s="21">
        <f>SUM(G7:G122)</f>
        <v>0</v>
      </c>
      <c r="K4" s="21">
        <f>COUNTIFS(G7:G122,"&gt;0",I7:I122,"完工")+COUNTIFS(G7:G122,"&gt;0",I7:I122,"在建")</f>
        <v>0</v>
      </c>
      <c r="L4" s="21">
        <f>COUNTIFS(G7:G122,"&gt;0",I7:I122,"完工")</f>
        <v>0</v>
      </c>
      <c r="M4" s="17">
        <f>SUM(K7:K122)</f>
        <v>0</v>
      </c>
      <c r="N4" s="22" t="str">
        <f>IF(J4=0,"-",ROUND(M4/J4,3))</f>
        <v>-</v>
      </c>
      <c r="O4" s="19" t="s">
        <v>1148</v>
      </c>
      <c r="P4" s="20">
        <f>COUNTIF(Z7:Z122,"&gt;0")</f>
        <v>0</v>
      </c>
      <c r="Q4" s="24">
        <f>SUM(Z7:Z122)</f>
        <v>0</v>
      </c>
      <c r="R4" s="24">
        <f>COUNTIFS(Z7:Z122,"&gt;0",AB7:AB122,"完工")+COUNTIFS(Z7:Z122,"&gt;0",AB7:AB122,"在建")</f>
        <v>0</v>
      </c>
      <c r="S4" s="24">
        <f>COUNTIFS(Z7:Z122,"&gt;0",AB7:AB122,"完工")</f>
        <v>0</v>
      </c>
      <c r="T4" s="20">
        <f>SUM(AD7:AD122)</f>
        <v>0</v>
      </c>
      <c r="U4" s="25" t="str">
        <f>IF(Q4=0,"-",ROUND(T4/Q4,3))</f>
        <v>-</v>
      </c>
    </row>
    <row r="5" s="1" customFormat="1" spans="1:37">
      <c r="A5" s="13" t="s">
        <v>1300</v>
      </c>
      <c r="B5" s="14"/>
      <c r="C5" s="14"/>
      <c r="D5" s="14"/>
      <c r="E5" s="14"/>
      <c r="F5" s="14"/>
      <c r="G5" s="14"/>
      <c r="H5" s="14"/>
      <c r="I5" s="14"/>
      <c r="J5" s="14"/>
      <c r="K5" s="14"/>
      <c r="L5" s="14"/>
      <c r="M5" s="14"/>
      <c r="N5" s="14"/>
      <c r="O5" s="14"/>
      <c r="P5" s="14"/>
      <c r="Q5" s="14"/>
      <c r="R5" s="14"/>
      <c r="T5" s="13" t="s">
        <v>1301</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20:37">
      <c r="T7">
        <f>'附件4 规划外'!A122</f>
        <v>135</v>
      </c>
      <c r="U7" t="str">
        <f>'附件4 规划外'!B122</f>
        <v>尉氏县伟星塑料制品有限公司</v>
      </c>
      <c r="V7" t="str">
        <f>'附件4 规划外'!C122</f>
        <v>产业</v>
      </c>
      <c r="W7" t="str">
        <f>'附件4 规划外'!D122</f>
        <v>注塑机5台</v>
      </c>
      <c r="X7">
        <f>'附件4 规划外'!E122</f>
        <v>3</v>
      </c>
      <c r="Y7">
        <f>'附件4 规划外'!F122</f>
        <v>3</v>
      </c>
      <c r="Z7">
        <f>'附件4 规划外'!G122</f>
        <v>0</v>
      </c>
      <c r="AA7">
        <f>'附件4 规划外'!H122</f>
        <v>0</v>
      </c>
      <c r="AB7" t="str">
        <f>'附件4 规划外'!I122</f>
        <v>完工</v>
      </c>
      <c r="AC7">
        <f>'附件4 规划外'!J122</f>
        <v>3</v>
      </c>
      <c r="AD7" t="str">
        <f>'附件4 规划外'!K122</f>
        <v/>
      </c>
      <c r="AE7" t="str">
        <f>'附件4 规划外'!L122</f>
        <v>竣工</v>
      </c>
      <c r="AF7" s="26">
        <f>'附件4 规划外'!M122</f>
        <v>44378</v>
      </c>
      <c r="AG7" s="26">
        <f>'附件4 规划外'!N122</f>
        <v>44440</v>
      </c>
      <c r="AH7" t="str">
        <f>'附件4 规划外'!O122</f>
        <v>市工业和信息化局</v>
      </c>
      <c r="AI7" t="str">
        <f>'附件4 规划外'!P122</f>
        <v>尉氏县</v>
      </c>
      <c r="AJ7">
        <f>'附件4 规划外'!Q122</f>
        <v>0</v>
      </c>
      <c r="AK7">
        <f>'附件4 规划外'!R122</f>
        <v>0</v>
      </c>
    </row>
    <row r="8" spans="20:37">
      <c r="T8">
        <f>'附件4 规划外'!A123</f>
        <v>136</v>
      </c>
      <c r="U8" t="str">
        <f>'附件4 规划外'!B123</f>
        <v>尉氏县新开元服饰有限公司</v>
      </c>
      <c r="V8" t="str">
        <f>'附件4 规划外'!C123</f>
        <v>产业</v>
      </c>
      <c r="W8" t="str">
        <f>'附件4 规划外'!D123</f>
        <v>德国袜机迈兹CC-411 2台</v>
      </c>
      <c r="X8">
        <f>'附件4 规划外'!E123</f>
        <v>2.94</v>
      </c>
      <c r="Y8">
        <f>'附件4 规划外'!F123</f>
        <v>2.94</v>
      </c>
      <c r="Z8">
        <f>'附件4 规划外'!G123</f>
        <v>0</v>
      </c>
      <c r="AA8">
        <f>'附件4 规划外'!H123</f>
        <v>0</v>
      </c>
      <c r="AB8" t="str">
        <f>'附件4 规划外'!I123</f>
        <v>完工</v>
      </c>
      <c r="AC8">
        <f>'附件4 规划外'!J123</f>
        <v>2.94</v>
      </c>
      <c r="AD8" t="str">
        <f>'附件4 规划外'!K123</f>
        <v/>
      </c>
      <c r="AE8" t="str">
        <f>'附件4 规划外'!L123</f>
        <v>竣工</v>
      </c>
      <c r="AF8" s="26">
        <f>'附件4 规划外'!M123</f>
        <v>44378</v>
      </c>
      <c r="AG8" s="26">
        <f>'附件4 规划外'!N123</f>
        <v>44440</v>
      </c>
      <c r="AH8" t="str">
        <f>'附件4 规划外'!O123</f>
        <v>市工业和信息化局</v>
      </c>
      <c r="AI8" t="str">
        <f>'附件4 规划外'!P123</f>
        <v>尉氏县</v>
      </c>
      <c r="AJ8">
        <f>'附件4 规划外'!Q123</f>
        <v>0</v>
      </c>
      <c r="AK8">
        <f>'附件4 规划外'!R123</f>
        <v>0</v>
      </c>
    </row>
    <row r="9" spans="20:37">
      <c r="T9">
        <f>'附件4 规划外'!A124</f>
        <v>137</v>
      </c>
      <c r="U9" t="str">
        <f>'附件4 规划外'!B124</f>
        <v>尉氏县鑫泰源纺织有限公司</v>
      </c>
      <c r="V9" t="str">
        <f>'附件4 规划外'!C124</f>
        <v>产业</v>
      </c>
      <c r="W9" t="str">
        <f>'附件4 规划外'!D124</f>
        <v>前纺设备28台，细纱设备58台，自动络筒机4套</v>
      </c>
      <c r="X9">
        <f>'附件4 规划外'!E124</f>
        <v>257</v>
      </c>
      <c r="Y9">
        <f>'附件4 规划外'!F124</f>
        <v>257</v>
      </c>
      <c r="Z9">
        <f>'附件4 规划外'!G124</f>
        <v>0</v>
      </c>
      <c r="AA9">
        <f>'附件4 规划外'!H124</f>
        <v>0</v>
      </c>
      <c r="AB9" t="str">
        <f>'附件4 规划外'!I124</f>
        <v>完工</v>
      </c>
      <c r="AC9">
        <f>'附件4 规划外'!J124</f>
        <v>257</v>
      </c>
      <c r="AD9" t="str">
        <f>'附件4 规划外'!K124</f>
        <v/>
      </c>
      <c r="AE9" t="str">
        <f>'附件4 规划外'!L124</f>
        <v>竣工</v>
      </c>
      <c r="AF9" s="26">
        <f>'附件4 规划外'!M124</f>
        <v>44378</v>
      </c>
      <c r="AG9" s="26">
        <f>'附件4 规划外'!N124</f>
        <v>44440</v>
      </c>
      <c r="AH9" t="str">
        <f>'附件4 规划外'!O124</f>
        <v>市工业和信息化局</v>
      </c>
      <c r="AI9" t="str">
        <f>'附件4 规划外'!P124</f>
        <v>尉氏县</v>
      </c>
      <c r="AJ9">
        <f>'附件4 规划外'!Q124</f>
        <v>0</v>
      </c>
      <c r="AK9">
        <f>'附件4 规划外'!R124</f>
        <v>0</v>
      </c>
    </row>
    <row r="10" spans="20:37">
      <c r="T10">
        <f>'附件4 规划外'!A125</f>
        <v>138</v>
      </c>
      <c r="U10" t="str">
        <f>'附件4 规划外'!B125</f>
        <v>河南华地肥业科技有限公司</v>
      </c>
      <c r="V10" t="str">
        <f>'附件4 规划外'!C125</f>
        <v>产业</v>
      </c>
      <c r="W10" t="str">
        <f>'附件4 规划外'!D125</f>
        <v>投料平台：称重式配料系统LCS-1000:38万
机械手M410IC：26万</v>
      </c>
      <c r="X10">
        <f>'附件4 规划外'!E125</f>
        <v>26.32</v>
      </c>
      <c r="Y10">
        <f>'附件4 规划外'!F125</f>
        <v>26.32</v>
      </c>
      <c r="Z10">
        <f>'附件4 规划外'!G125</f>
        <v>0</v>
      </c>
      <c r="AA10">
        <f>'附件4 规划外'!H125</f>
        <v>0</v>
      </c>
      <c r="AB10" t="str">
        <f>'附件4 规划外'!I125</f>
        <v>完工</v>
      </c>
      <c r="AC10">
        <f>'附件4 规划外'!J125</f>
        <v>26.32</v>
      </c>
      <c r="AD10" t="str">
        <f>'附件4 规划外'!K125</f>
        <v/>
      </c>
      <c r="AE10" t="str">
        <f>'附件4 规划外'!L125</f>
        <v>竣工</v>
      </c>
      <c r="AF10" s="26">
        <f>'附件4 规划外'!M125</f>
        <v>44378</v>
      </c>
      <c r="AG10" s="26">
        <f>'附件4 规划外'!N125</f>
        <v>44440</v>
      </c>
      <c r="AH10" t="str">
        <f>'附件4 规划外'!O125</f>
        <v>市工业和信息化局</v>
      </c>
      <c r="AI10" t="str">
        <f>'附件4 规划外'!P125</f>
        <v>尉氏县</v>
      </c>
      <c r="AJ10">
        <f>'附件4 规划外'!Q125</f>
        <v>0</v>
      </c>
      <c r="AK10">
        <f>'附件4 规划外'!R125</f>
        <v>0</v>
      </c>
    </row>
    <row r="11" spans="20:37">
      <c r="T11">
        <f>'附件4 规划外'!A126</f>
        <v>139</v>
      </c>
      <c r="U11" t="str">
        <f>'附件4 规划外'!B126</f>
        <v>开封市森簏服饰有限公司</v>
      </c>
      <c r="V11" t="str">
        <f>'附件4 规划外'!C126</f>
        <v>产业</v>
      </c>
      <c r="W11" t="str">
        <f>'附件4 规划外'!D126</f>
        <v>自动裁剪、烫台</v>
      </c>
      <c r="X11">
        <f>'附件4 规划外'!E126</f>
        <v>45</v>
      </c>
      <c r="Y11">
        <f>'附件4 规划外'!F126</f>
        <v>45</v>
      </c>
      <c r="Z11">
        <f>'附件4 规划外'!G126</f>
        <v>0</v>
      </c>
      <c r="AA11">
        <f>'附件4 规划外'!H126</f>
        <v>0</v>
      </c>
      <c r="AB11" t="str">
        <f>'附件4 规划外'!I126</f>
        <v>完工</v>
      </c>
      <c r="AC11">
        <f>'附件4 规划外'!J126</f>
        <v>45</v>
      </c>
      <c r="AD11" t="str">
        <f>'附件4 规划外'!K126</f>
        <v/>
      </c>
      <c r="AE11" t="str">
        <f>'附件4 规划外'!L126</f>
        <v>竣工</v>
      </c>
      <c r="AF11" s="26">
        <f>'附件4 规划外'!M126</f>
        <v>44378</v>
      </c>
      <c r="AG11" s="26">
        <f>'附件4 规划外'!N126</f>
        <v>44440</v>
      </c>
      <c r="AH11" t="str">
        <f>'附件4 规划外'!O126</f>
        <v>市工业和信息化局</v>
      </c>
      <c r="AI11" t="str">
        <f>'附件4 规划外'!P126</f>
        <v>尉氏县</v>
      </c>
      <c r="AJ11">
        <f>'附件4 规划外'!Q126</f>
        <v>0</v>
      </c>
      <c r="AK11">
        <f>'附件4 规划外'!R126</f>
        <v>0</v>
      </c>
    </row>
    <row r="12" spans="20:37">
      <c r="T12">
        <f>'附件4 规划外'!A127</f>
        <v>140</v>
      </c>
      <c r="U12" t="str">
        <f>'附件4 规划外'!B127</f>
        <v>尉氏县飞达橡胶制品有限公司</v>
      </c>
      <c r="V12" t="str">
        <f>'附件4 规划外'!C127</f>
        <v>产业</v>
      </c>
      <c r="W12" t="str">
        <f>'附件4 规划外'!D127</f>
        <v>3台硫化炉</v>
      </c>
      <c r="X12">
        <f>'附件4 规划外'!E127</f>
        <v>9.158</v>
      </c>
      <c r="Y12">
        <f>'附件4 规划外'!F127</f>
        <v>9.158</v>
      </c>
      <c r="Z12">
        <f>'附件4 规划外'!G127</f>
        <v>0</v>
      </c>
      <c r="AA12">
        <f>'附件4 规划外'!H127</f>
        <v>0</v>
      </c>
      <c r="AB12" t="str">
        <f>'附件4 规划外'!I127</f>
        <v>完工</v>
      </c>
      <c r="AC12">
        <f>'附件4 规划外'!J127</f>
        <v>9.158</v>
      </c>
      <c r="AD12" t="str">
        <f>'附件4 规划外'!K127</f>
        <v/>
      </c>
      <c r="AE12" t="str">
        <f>'附件4 规划外'!L127</f>
        <v>竣工</v>
      </c>
      <c r="AF12" s="26">
        <f>'附件4 规划外'!M127</f>
        <v>44378</v>
      </c>
      <c r="AG12" s="26">
        <f>'附件4 规划外'!N127</f>
        <v>44440</v>
      </c>
      <c r="AH12" t="str">
        <f>'附件4 规划外'!O127</f>
        <v>市工业和信息化局</v>
      </c>
      <c r="AI12" t="str">
        <f>'附件4 规划外'!P127</f>
        <v>尉氏县</v>
      </c>
      <c r="AJ12">
        <f>'附件4 规划外'!Q127</f>
        <v>0</v>
      </c>
      <c r="AK12">
        <f>'附件4 规划外'!R127</f>
        <v>0</v>
      </c>
    </row>
    <row r="13" spans="20:37">
      <c r="T13">
        <f>'附件4 规划外'!A128</f>
        <v>141</v>
      </c>
      <c r="U13" t="str">
        <f>'附件4 规划外'!B128</f>
        <v>河南省金丰达纺织有限公司</v>
      </c>
      <c r="V13" t="str">
        <f>'附件4 规划外'!C128</f>
        <v>产业</v>
      </c>
      <c r="W13" t="str">
        <f>'附件4 规划外'!D128</f>
        <v>高压计量器1台、高压线及安装费、变频器4件、触摸屏1件、编码器2件、紫光灯管6个、荧光灯管12个、LED灯管1个、梳棉机变频器1台、梳棉机PLC1台、自络机三合一电源板8块、电清连接板6块、电源板4块</v>
      </c>
      <c r="X13">
        <f>'附件4 规划外'!E128</f>
        <v>2</v>
      </c>
      <c r="Y13">
        <f>'附件4 规划外'!F128</f>
        <v>2</v>
      </c>
      <c r="Z13">
        <f>'附件4 规划外'!G128</f>
        <v>0</v>
      </c>
      <c r="AA13">
        <f>'附件4 规划外'!H128</f>
        <v>0</v>
      </c>
      <c r="AB13" t="str">
        <f>'附件4 规划外'!I128</f>
        <v>完工</v>
      </c>
      <c r="AC13">
        <f>'附件4 规划外'!J128</f>
        <v>2</v>
      </c>
      <c r="AD13" t="str">
        <f>'附件4 规划外'!K128</f>
        <v/>
      </c>
      <c r="AE13" t="str">
        <f>'附件4 规划外'!L128</f>
        <v>竣工</v>
      </c>
      <c r="AF13" s="26">
        <f>'附件4 规划外'!M128</f>
        <v>44378</v>
      </c>
      <c r="AG13" s="26">
        <f>'附件4 规划外'!N128</f>
        <v>44440</v>
      </c>
      <c r="AH13" t="str">
        <f>'附件4 规划外'!O128</f>
        <v>市工业和信息化局</v>
      </c>
      <c r="AI13" t="str">
        <f>'附件4 规划外'!P128</f>
        <v>尉氏县</v>
      </c>
      <c r="AJ13">
        <f>'附件4 规划外'!Q128</f>
        <v>0</v>
      </c>
      <c r="AK13">
        <f>'附件4 规划外'!R128</f>
        <v>0</v>
      </c>
    </row>
    <row r="14" spans="20:37">
      <c r="T14">
        <f>'附件4 规划外'!A129</f>
        <v>142</v>
      </c>
      <c r="U14" t="str">
        <f>'附件4 规划外'!B129</f>
        <v>河南省金盛达实业有限公司</v>
      </c>
      <c r="V14" t="str">
        <f>'附件4 规划外'!C129</f>
        <v>产业</v>
      </c>
      <c r="W14" t="str">
        <f>'附件4 规划外'!D129</f>
        <v>石材红外桥式切割机设备，铝型材压型机2台</v>
      </c>
      <c r="X14">
        <f>'附件4 规划外'!E129</f>
        <v>19.1822</v>
      </c>
      <c r="Y14">
        <f>'附件4 规划外'!F129</f>
        <v>19.1822</v>
      </c>
      <c r="Z14">
        <f>'附件4 规划外'!G129</f>
        <v>0</v>
      </c>
      <c r="AA14">
        <f>'附件4 规划外'!H129</f>
        <v>0</v>
      </c>
      <c r="AB14" t="str">
        <f>'附件4 规划外'!I129</f>
        <v>完工</v>
      </c>
      <c r="AC14">
        <f>'附件4 规划外'!J129</f>
        <v>19.1822</v>
      </c>
      <c r="AD14" t="str">
        <f>'附件4 规划外'!K129</f>
        <v/>
      </c>
      <c r="AE14" t="str">
        <f>'附件4 规划外'!L129</f>
        <v>竣工</v>
      </c>
      <c r="AF14" s="26">
        <f>'附件4 规划外'!M129</f>
        <v>44378</v>
      </c>
      <c r="AG14" s="26">
        <f>'附件4 规划外'!N129</f>
        <v>44440</v>
      </c>
      <c r="AH14" t="str">
        <f>'附件4 规划外'!O129</f>
        <v>市工业和信息化局</v>
      </c>
      <c r="AI14" t="str">
        <f>'附件4 规划外'!P129</f>
        <v>尉氏县</v>
      </c>
      <c r="AJ14">
        <f>'附件4 规划外'!Q129</f>
        <v>0</v>
      </c>
      <c r="AK14">
        <f>'附件4 规划外'!R129</f>
        <v>0</v>
      </c>
    </row>
    <row r="15" spans="20:37">
      <c r="T15">
        <f>'附件4 规划外'!A130</f>
        <v>143</v>
      </c>
      <c r="U15" t="str">
        <f>'附件4 规划外'!B130</f>
        <v>河南省周艳水泥制品有限公司</v>
      </c>
      <c r="V15" t="str">
        <f>'附件4 规划外'!C130</f>
        <v>产业</v>
      </c>
      <c r="W15" t="str">
        <f>'附件4 规划外'!D130</f>
        <v>袋式除尘设备3台，滚焊机控制柜1台。</v>
      </c>
      <c r="X15">
        <f>'附件4 规划外'!E130</f>
        <v>49.8</v>
      </c>
      <c r="Y15">
        <f>'附件4 规划外'!F130</f>
        <v>49.8</v>
      </c>
      <c r="Z15">
        <f>'附件4 规划外'!G130</f>
        <v>0</v>
      </c>
      <c r="AA15">
        <f>'附件4 规划外'!H130</f>
        <v>0</v>
      </c>
      <c r="AB15" t="str">
        <f>'附件4 规划外'!I130</f>
        <v>完工</v>
      </c>
      <c r="AC15">
        <f>'附件4 规划外'!J130</f>
        <v>49.8</v>
      </c>
      <c r="AD15" t="str">
        <f>'附件4 规划外'!K130</f>
        <v/>
      </c>
      <c r="AE15" t="str">
        <f>'附件4 规划外'!L130</f>
        <v>竣工</v>
      </c>
      <c r="AF15" s="26">
        <f>'附件4 规划外'!M130</f>
        <v>44378</v>
      </c>
      <c r="AG15" s="26">
        <f>'附件4 规划外'!N130</f>
        <v>44440</v>
      </c>
      <c r="AH15" t="str">
        <f>'附件4 规划外'!O130</f>
        <v>市工业和信息化局</v>
      </c>
      <c r="AI15" t="str">
        <f>'附件4 规划外'!P130</f>
        <v>尉氏县</v>
      </c>
      <c r="AJ15">
        <f>'附件4 规划外'!Q130</f>
        <v>0</v>
      </c>
      <c r="AK15">
        <f>'附件4 规划外'!R130</f>
        <v>0</v>
      </c>
    </row>
    <row r="16" spans="20:37">
      <c r="T16">
        <f>'附件4 规划外'!A131</f>
        <v>144</v>
      </c>
      <c r="U16" t="str">
        <f>'附件4 规划外'!B131</f>
        <v>开封市怡居康木业有限公司</v>
      </c>
      <c r="V16" t="str">
        <f>'附件4 规划外'!C131</f>
        <v>产业</v>
      </c>
      <c r="W16" t="str">
        <f>'附件4 规划外'!D131</f>
        <v>三公分门套自动成型机编号：0782494，精密推台锯编号：023105</v>
      </c>
      <c r="X16">
        <f>'附件4 规划外'!E131</f>
        <v>36.28</v>
      </c>
      <c r="Y16">
        <f>'附件4 规划外'!F131</f>
        <v>36.28</v>
      </c>
      <c r="Z16">
        <f>'附件4 规划外'!G131</f>
        <v>0</v>
      </c>
      <c r="AA16">
        <f>'附件4 规划外'!H131</f>
        <v>0</v>
      </c>
      <c r="AB16" t="str">
        <f>'附件4 规划外'!I131</f>
        <v>完工</v>
      </c>
      <c r="AC16">
        <f>'附件4 规划外'!J131</f>
        <v>36.28</v>
      </c>
      <c r="AD16" t="str">
        <f>'附件4 规划外'!K131</f>
        <v/>
      </c>
      <c r="AE16" t="str">
        <f>'附件4 规划外'!L131</f>
        <v>竣工</v>
      </c>
      <c r="AF16" s="26">
        <f>'附件4 规划外'!M131</f>
        <v>44378</v>
      </c>
      <c r="AG16" s="26">
        <f>'附件4 规划外'!N131</f>
        <v>44440</v>
      </c>
      <c r="AH16" t="str">
        <f>'附件4 规划外'!O131</f>
        <v>市工业和信息化局</v>
      </c>
      <c r="AI16" t="str">
        <f>'附件4 规划外'!P131</f>
        <v>尉氏县</v>
      </c>
      <c r="AJ16">
        <f>'附件4 规划外'!Q131</f>
        <v>0</v>
      </c>
      <c r="AK16">
        <f>'附件4 规划外'!R131</f>
        <v>0</v>
      </c>
    </row>
    <row r="17" spans="20:37">
      <c r="T17">
        <f>'附件4 规划外'!A132</f>
        <v>145</v>
      </c>
      <c r="U17" t="str">
        <f>'附件4 规划外'!B132</f>
        <v>尉氏县大鑫木业有限公司</v>
      </c>
      <c r="V17" t="str">
        <f>'附件4 规划外'!C132</f>
        <v>产业</v>
      </c>
      <c r="W17" t="str">
        <f>'附件4 规划外'!D132</f>
        <v>热压设备1台
冷压机1台</v>
      </c>
      <c r="X17">
        <f>'附件4 规划外'!E132</f>
        <v>121.79</v>
      </c>
      <c r="Y17">
        <f>'附件4 规划外'!F132</f>
        <v>121.79</v>
      </c>
      <c r="Z17">
        <f>'附件4 规划外'!G132</f>
        <v>0</v>
      </c>
      <c r="AA17">
        <f>'附件4 规划外'!H132</f>
        <v>0</v>
      </c>
      <c r="AB17" t="str">
        <f>'附件4 规划外'!I132</f>
        <v>完工</v>
      </c>
      <c r="AC17">
        <f>'附件4 规划外'!J132</f>
        <v>121.79</v>
      </c>
      <c r="AD17" t="str">
        <f>'附件4 规划外'!K132</f>
        <v/>
      </c>
      <c r="AE17" t="str">
        <f>'附件4 规划外'!L132</f>
        <v>竣工</v>
      </c>
      <c r="AF17" s="26">
        <f>'附件4 规划外'!M132</f>
        <v>44378</v>
      </c>
      <c r="AG17" s="26">
        <f>'附件4 规划外'!N132</f>
        <v>44440</v>
      </c>
      <c r="AH17" t="str">
        <f>'附件4 规划外'!O132</f>
        <v>市工业和信息化局</v>
      </c>
      <c r="AI17" t="str">
        <f>'附件4 规划外'!P132</f>
        <v>尉氏县</v>
      </c>
      <c r="AJ17">
        <f>'附件4 规划外'!Q132</f>
        <v>0</v>
      </c>
      <c r="AK17">
        <f>'附件4 规划外'!R132</f>
        <v>0</v>
      </c>
    </row>
    <row r="18" spans="20:37">
      <c r="T18">
        <f>'附件4 规划外'!A133</f>
        <v>146</v>
      </c>
      <c r="U18" t="str">
        <f>'附件4 规划外'!B133</f>
        <v>尉氏县久龙橡塑有限公司</v>
      </c>
      <c r="V18" t="str">
        <f>'附件4 规划外'!C133</f>
        <v>产业</v>
      </c>
      <c r="W18" t="str">
        <f>'附件4 规划外'!D133</f>
        <v>压胶电子磅2台；输送带电器2套；光氧环保镇流器、光氧灯管；光氧环保活性炭、滤棉；光氧环保电气控制；4千瓦电机2台；7.5千瓦电机1台</v>
      </c>
      <c r="X18">
        <f>'附件4 规划外'!E133</f>
        <v>103</v>
      </c>
      <c r="Y18">
        <f>'附件4 规划外'!F133</f>
        <v>103</v>
      </c>
      <c r="Z18">
        <f>'附件4 规划外'!G133</f>
        <v>0</v>
      </c>
      <c r="AA18">
        <f>'附件4 规划外'!H133</f>
        <v>0</v>
      </c>
      <c r="AB18" t="str">
        <f>'附件4 规划外'!I133</f>
        <v>完工</v>
      </c>
      <c r="AC18">
        <f>'附件4 规划外'!J133</f>
        <v>103</v>
      </c>
      <c r="AD18" t="str">
        <f>'附件4 规划外'!K133</f>
        <v/>
      </c>
      <c r="AE18" t="str">
        <f>'附件4 规划外'!L133</f>
        <v>竣工</v>
      </c>
      <c r="AF18" s="26">
        <f>'附件4 规划外'!M133</f>
        <v>44378</v>
      </c>
      <c r="AG18" s="26">
        <f>'附件4 规划外'!N133</f>
        <v>44440</v>
      </c>
      <c r="AH18" t="str">
        <f>'附件4 规划外'!O133</f>
        <v>市工业和信息化局</v>
      </c>
      <c r="AI18" t="str">
        <f>'附件4 规划外'!P133</f>
        <v>尉氏县</v>
      </c>
      <c r="AJ18">
        <f>'附件4 规划外'!Q133</f>
        <v>0</v>
      </c>
      <c r="AK18">
        <f>'附件4 规划外'!R133</f>
        <v>0</v>
      </c>
    </row>
    <row r="19" spans="20:37">
      <c r="T19">
        <f>'附件4 规划外'!A134</f>
        <v>147</v>
      </c>
      <c r="U19" t="str">
        <f>'附件4 规划外'!B134</f>
        <v>河南昊昌精梳机械股份有限公司</v>
      </c>
      <c r="V19" t="str">
        <f>'附件4 规划外'!C134</f>
        <v>产业</v>
      </c>
      <c r="W19" t="str">
        <f>'附件4 规划外'!D134</f>
        <v>涡流纺设备4台、空压机1台、滤尘电机1台、熔喷布冷冻机组。</v>
      </c>
      <c r="X19">
        <f>'附件4 规划外'!E134</f>
        <v>3</v>
      </c>
      <c r="Y19">
        <f>'附件4 规划外'!F134</f>
        <v>3</v>
      </c>
      <c r="Z19">
        <f>'附件4 规划外'!G134</f>
        <v>0</v>
      </c>
      <c r="AA19">
        <f>'附件4 规划外'!H134</f>
        <v>0</v>
      </c>
      <c r="AB19" t="str">
        <f>'附件4 规划外'!I134</f>
        <v>完工</v>
      </c>
      <c r="AC19">
        <f>'附件4 规划外'!J134</f>
        <v>3</v>
      </c>
      <c r="AD19" t="str">
        <f>'附件4 规划外'!K134</f>
        <v/>
      </c>
      <c r="AE19" t="str">
        <f>'附件4 规划外'!L134</f>
        <v>竣工</v>
      </c>
      <c r="AF19" s="26">
        <f>'附件4 规划外'!M134</f>
        <v>44378</v>
      </c>
      <c r="AG19" s="26">
        <f>'附件4 规划外'!N134</f>
        <v>44440</v>
      </c>
      <c r="AH19" t="str">
        <f>'附件4 规划外'!O134</f>
        <v>市工业和信息化局</v>
      </c>
      <c r="AI19" t="str">
        <f>'附件4 规划外'!P134</f>
        <v>尉氏县</v>
      </c>
      <c r="AJ19">
        <f>'附件4 规划外'!Q134</f>
        <v>0</v>
      </c>
      <c r="AK19">
        <f>'附件4 规划外'!R134</f>
        <v>0</v>
      </c>
    </row>
    <row r="20" spans="20:37">
      <c r="T20">
        <f>'附件4 规划外'!A135</f>
        <v>148</v>
      </c>
      <c r="U20" t="str">
        <f>'附件4 规划外'!B135</f>
        <v>河南省金久龙实业有限公司</v>
      </c>
      <c r="V20" t="str">
        <f>'附件4 规划外'!C135</f>
        <v>产业</v>
      </c>
      <c r="W20" t="str">
        <f>'附件4 规划外'!D135</f>
        <v>1、切割机 2、水井变频控制柜 3、运输带硫化机
4、压延循环泵变频控制柜5、硫化罐6、270密炼机高压变频单元</v>
      </c>
      <c r="X20">
        <f>'附件4 规划外'!E135</f>
        <v>6.5</v>
      </c>
      <c r="Y20">
        <f>'附件4 规划外'!F135</f>
        <v>6.5</v>
      </c>
      <c r="Z20">
        <f>'附件4 规划外'!G135</f>
        <v>0</v>
      </c>
      <c r="AA20">
        <f>'附件4 规划外'!H135</f>
        <v>0</v>
      </c>
      <c r="AB20" t="str">
        <f>'附件4 规划外'!I135</f>
        <v>完工</v>
      </c>
      <c r="AC20">
        <f>'附件4 规划外'!J135</f>
        <v>6.5</v>
      </c>
      <c r="AD20" t="str">
        <f>'附件4 规划外'!K135</f>
        <v/>
      </c>
      <c r="AE20" t="str">
        <f>'附件4 规划外'!L135</f>
        <v>竣工</v>
      </c>
      <c r="AF20" s="26">
        <f>'附件4 规划外'!M135</f>
        <v>44378</v>
      </c>
      <c r="AG20" s="26">
        <f>'附件4 规划外'!N135</f>
        <v>44440</v>
      </c>
      <c r="AH20" t="str">
        <f>'附件4 规划外'!O135</f>
        <v>市工业和信息化局</v>
      </c>
      <c r="AI20" t="str">
        <f>'附件4 规划外'!P135</f>
        <v>尉氏县</v>
      </c>
      <c r="AJ20">
        <f>'附件4 规划外'!Q135</f>
        <v>0</v>
      </c>
      <c r="AK20">
        <f>'附件4 规划外'!R135</f>
        <v>0</v>
      </c>
    </row>
    <row r="21" spans="20:37">
      <c r="T21">
        <f>'附件4 规划外'!A136</f>
        <v>149</v>
      </c>
      <c r="U21" t="str">
        <f>'附件4 规划外'!B136</f>
        <v>尉氏纺织有限公司</v>
      </c>
      <c r="V21" t="str">
        <f>'附件4 规划外'!C136</f>
        <v>产业</v>
      </c>
      <c r="W21" t="str">
        <f>'附件4 规划外'!D136</f>
        <v>空压机控制器2台、自动络筒机电脑、主板等13台、电动机14台、变频器21台</v>
      </c>
      <c r="X21">
        <f>'附件4 规划外'!E136</f>
        <v>2.8</v>
      </c>
      <c r="Y21">
        <f>'附件4 规划外'!F136</f>
        <v>2.8</v>
      </c>
      <c r="Z21">
        <f>'附件4 规划外'!G136</f>
        <v>0</v>
      </c>
      <c r="AA21">
        <f>'附件4 规划外'!H136</f>
        <v>0</v>
      </c>
      <c r="AB21" t="str">
        <f>'附件4 规划外'!I136</f>
        <v>完工</v>
      </c>
      <c r="AC21">
        <f>'附件4 规划外'!J136</f>
        <v>2.8</v>
      </c>
      <c r="AD21" t="str">
        <f>'附件4 规划外'!K136</f>
        <v/>
      </c>
      <c r="AE21" t="str">
        <f>'附件4 规划外'!L136</f>
        <v>竣工</v>
      </c>
      <c r="AF21" s="26">
        <f>'附件4 规划外'!M136</f>
        <v>44378</v>
      </c>
      <c r="AG21" s="26">
        <f>'附件4 规划外'!N136</f>
        <v>44440</v>
      </c>
      <c r="AH21" t="str">
        <f>'附件4 规划外'!O136</f>
        <v>市工业和信息化局</v>
      </c>
      <c r="AI21" t="str">
        <f>'附件4 规划外'!P136</f>
        <v>尉氏县</v>
      </c>
      <c r="AJ21">
        <f>'附件4 规划外'!Q136</f>
        <v>0</v>
      </c>
      <c r="AK21">
        <f>'附件4 规划外'!R136</f>
        <v>0</v>
      </c>
    </row>
    <row r="22" spans="20:37">
      <c r="T22">
        <f>'附件4 规划外'!A137</f>
        <v>150</v>
      </c>
      <c r="U22" t="str">
        <f>'附件4 规划外'!B137</f>
        <v>河南省康源香料厂有限公司第一分公司</v>
      </c>
      <c r="V22" t="str">
        <f>'附件4 规划外'!C137</f>
        <v>产业</v>
      </c>
      <c r="W22" t="str">
        <f>'附件4 规划外'!D137</f>
        <v>地下罐4个（容量300吨）；消防泵电机4台（型号：XBD5.0/40G-MHL）；生产区电机25台(型号：YBX3-90L-2)；监控64套（型号:CDS-XES00）；光纤接发器1对（型号：JJ-B5110S）；5口POE交换机1台（型号：FS05CP）；8口POE交换机（型号：FS08CP）；电脑主机11台(型号：扬天M4601d-01)。</v>
      </c>
      <c r="X22">
        <f>'附件4 规划外'!E137</f>
        <v>8.3</v>
      </c>
      <c r="Y22">
        <f>'附件4 规划外'!F137</f>
        <v>8.3</v>
      </c>
      <c r="Z22">
        <f>'附件4 规划外'!G137</f>
        <v>0</v>
      </c>
      <c r="AA22">
        <f>'附件4 规划外'!H137</f>
        <v>0</v>
      </c>
      <c r="AB22" t="str">
        <f>'附件4 规划外'!I137</f>
        <v>完工</v>
      </c>
      <c r="AC22">
        <f>'附件4 规划外'!J137</f>
        <v>8.3</v>
      </c>
      <c r="AD22" t="str">
        <f>'附件4 规划外'!K137</f>
        <v/>
      </c>
      <c r="AE22" t="str">
        <f>'附件4 规划外'!L137</f>
        <v>竣工</v>
      </c>
      <c r="AF22" s="26">
        <f>'附件4 规划外'!M137</f>
        <v>44378</v>
      </c>
      <c r="AG22" s="26">
        <f>'附件4 规划外'!N137</f>
        <v>44440</v>
      </c>
      <c r="AH22" t="str">
        <f>'附件4 规划外'!O137</f>
        <v>市工业和信息化局</v>
      </c>
      <c r="AI22" t="str">
        <f>'附件4 规划外'!P137</f>
        <v>尉氏县</v>
      </c>
      <c r="AJ22">
        <f>'附件4 规划外'!Q137</f>
        <v>0</v>
      </c>
      <c r="AK22">
        <f>'附件4 规划外'!R137</f>
        <v>0</v>
      </c>
    </row>
    <row r="23" spans="20:37">
      <c r="T23">
        <f>'附件4 规划外'!A138</f>
        <v>151</v>
      </c>
      <c r="U23" t="str">
        <f>'附件4 规划外'!B138</f>
        <v>尉氏县富润电子科技有限公司</v>
      </c>
      <c r="V23" t="str">
        <f>'附件4 规划外'!C138</f>
        <v>产业</v>
      </c>
      <c r="W23" t="str">
        <f>'附件4 规划外'!D138</f>
        <v>USB2.0半自动机1套含1台自动插针机1台shell铁壳组装机；                自动包装机1台</v>
      </c>
      <c r="X23">
        <f>'附件4 规划外'!E138</f>
        <v>0</v>
      </c>
      <c r="Y23">
        <f>'附件4 规划外'!F138</f>
        <v>0</v>
      </c>
      <c r="Z23">
        <f>'附件4 规划外'!G138</f>
        <v>0</v>
      </c>
      <c r="AA23">
        <f>'附件4 规划外'!H138</f>
        <v>0</v>
      </c>
      <c r="AB23" t="str">
        <f>'附件4 规划外'!I138</f>
        <v>完工</v>
      </c>
      <c r="AC23">
        <f>'附件4 规划外'!J138</f>
        <v>0</v>
      </c>
      <c r="AD23" t="str">
        <f>'附件4 规划外'!K138</f>
        <v/>
      </c>
      <c r="AE23" t="str">
        <f>'附件4 规划外'!L138</f>
        <v>竣工</v>
      </c>
      <c r="AF23" s="26">
        <f>'附件4 规划外'!M138</f>
        <v>44378</v>
      </c>
      <c r="AG23" s="26">
        <f>'附件4 规划外'!N138</f>
        <v>44440</v>
      </c>
      <c r="AH23" t="str">
        <f>'附件4 规划外'!O138</f>
        <v>市工业和信息化局</v>
      </c>
      <c r="AI23" t="str">
        <f>'附件4 规划外'!P138</f>
        <v>尉氏县</v>
      </c>
      <c r="AJ23">
        <f>'附件4 规划外'!Q138</f>
        <v>0</v>
      </c>
      <c r="AK23">
        <f>'附件4 规划外'!R138</f>
        <v>0</v>
      </c>
    </row>
    <row r="24" spans="20:37">
      <c r="T24">
        <f>'附件4 规划外'!A139</f>
        <v>152</v>
      </c>
      <c r="U24" t="str">
        <f>'附件4 规划外'!B139</f>
        <v>尉氏县力尔橡胶有限公司</v>
      </c>
      <c r="V24" t="str">
        <f>'附件4 规划外'!C139</f>
        <v>产业</v>
      </c>
      <c r="W24" t="str">
        <f>'附件4 规划外'!D139</f>
        <v>40千瓦电机2台；50千瓦电机2台；5.5千瓦电机23千瓦电机1台；设备PLC 6台</v>
      </c>
      <c r="X24">
        <f>'附件4 规划外'!E139</f>
        <v>23</v>
      </c>
      <c r="Y24">
        <f>'附件4 规划外'!F139</f>
        <v>23</v>
      </c>
      <c r="Z24">
        <f>'附件4 规划外'!G139</f>
        <v>0</v>
      </c>
      <c r="AA24">
        <f>'附件4 规划外'!H139</f>
        <v>0</v>
      </c>
      <c r="AB24" t="str">
        <f>'附件4 规划外'!I139</f>
        <v>完工</v>
      </c>
      <c r="AC24">
        <f>'附件4 规划外'!J139</f>
        <v>23</v>
      </c>
      <c r="AD24" t="str">
        <f>'附件4 规划外'!K139</f>
        <v/>
      </c>
      <c r="AE24" t="str">
        <f>'附件4 规划外'!L139</f>
        <v>竣工</v>
      </c>
      <c r="AF24" s="26">
        <f>'附件4 规划外'!M139</f>
        <v>44378</v>
      </c>
      <c r="AG24" s="26">
        <f>'附件4 规划外'!N139</f>
        <v>44440</v>
      </c>
      <c r="AH24" t="str">
        <f>'附件4 规划外'!O139</f>
        <v>市工业和信息化局</v>
      </c>
      <c r="AI24" t="str">
        <f>'附件4 规划外'!P139</f>
        <v>尉氏县</v>
      </c>
      <c r="AJ24">
        <f>'附件4 规划外'!Q139</f>
        <v>0</v>
      </c>
      <c r="AK24">
        <f>'附件4 规划外'!R139</f>
        <v>0</v>
      </c>
    </row>
    <row r="25" spans="20:37">
      <c r="T25">
        <f>'附件4 规划外'!A140</f>
        <v>153</v>
      </c>
      <c r="U25" t="str">
        <f>'附件4 规划外'!B140</f>
        <v>河南国网电缆集团有限公司</v>
      </c>
      <c r="V25" t="str">
        <f>'附件4 规划外'!C140</f>
        <v>产业</v>
      </c>
      <c r="W25" t="str">
        <f>'附件4 规划外'!D140</f>
        <v>成缆1600型机一台；铜带屏蔽机；串联云母带绕包机组；行车10吨一台；成缆1250型机一台；挤塑机90型一台；弓绞1250型机一台；智能化拉丝机一台。</v>
      </c>
      <c r="X25">
        <f>'附件4 规划外'!E140</f>
        <v>5</v>
      </c>
      <c r="Y25">
        <f>'附件4 规划外'!F140</f>
        <v>5</v>
      </c>
      <c r="Z25">
        <f>'附件4 规划外'!G140</f>
        <v>0</v>
      </c>
      <c r="AA25">
        <f>'附件4 规划外'!H140</f>
        <v>0</v>
      </c>
      <c r="AB25" t="str">
        <f>'附件4 规划外'!I140</f>
        <v>完工</v>
      </c>
      <c r="AC25">
        <f>'附件4 规划外'!J140</f>
        <v>5</v>
      </c>
      <c r="AD25" t="str">
        <f>'附件4 规划外'!K140</f>
        <v/>
      </c>
      <c r="AE25" t="str">
        <f>'附件4 规划外'!L140</f>
        <v>竣工</v>
      </c>
      <c r="AF25" s="26">
        <f>'附件4 规划外'!M140</f>
        <v>44378</v>
      </c>
      <c r="AG25" s="26">
        <f>'附件4 规划外'!N140</f>
        <v>44440</v>
      </c>
      <c r="AH25" t="str">
        <f>'附件4 规划外'!O140</f>
        <v>市工业和信息化局</v>
      </c>
      <c r="AI25" t="str">
        <f>'附件4 规划外'!P140</f>
        <v>尉氏县</v>
      </c>
      <c r="AJ25">
        <f>'附件4 规划外'!Q140</f>
        <v>0</v>
      </c>
      <c r="AK25">
        <f>'附件4 规划外'!R140</f>
        <v>0</v>
      </c>
    </row>
    <row r="26" spans="20:37">
      <c r="T26">
        <f>'附件4 规划外'!A141</f>
        <v>154</v>
      </c>
      <c r="U26" t="str">
        <f>'附件4 规划外'!B141</f>
        <v>上海宏图尚威环保科技股份有限公司开封分公司</v>
      </c>
      <c r="V26" t="str">
        <f>'附件4 规划外'!C141</f>
        <v>产业</v>
      </c>
      <c r="W26" t="str">
        <f>'附件4 规划外'!D141</f>
        <v>1400卷筒复合线SFJ-1400,1条；烘干机VYS-30HM,1台；开槽机ZDJ1000,2台；1.1米半自动裱纸机YB-1300B,1台</v>
      </c>
      <c r="X26">
        <f>'附件4 规划外'!E141</f>
        <v>20</v>
      </c>
      <c r="Y26">
        <f>'附件4 规划外'!F141</f>
        <v>20</v>
      </c>
      <c r="Z26">
        <f>'附件4 规划外'!G141</f>
        <v>0</v>
      </c>
      <c r="AA26">
        <f>'附件4 规划外'!H141</f>
        <v>0</v>
      </c>
      <c r="AB26" t="str">
        <f>'附件4 规划外'!I141</f>
        <v>完工</v>
      </c>
      <c r="AC26">
        <f>'附件4 规划外'!J141</f>
        <v>20</v>
      </c>
      <c r="AD26" t="str">
        <f>'附件4 规划外'!K141</f>
        <v/>
      </c>
      <c r="AE26" t="str">
        <f>'附件4 规划外'!L141</f>
        <v>竣工</v>
      </c>
      <c r="AF26" s="26">
        <f>'附件4 规划外'!M141</f>
        <v>44378</v>
      </c>
      <c r="AG26" s="26">
        <f>'附件4 规划外'!N141</f>
        <v>44440</v>
      </c>
      <c r="AH26" t="str">
        <f>'附件4 规划外'!O141</f>
        <v>市工业和信息化局</v>
      </c>
      <c r="AI26" t="str">
        <f>'附件4 规划外'!P141</f>
        <v>尉氏县</v>
      </c>
      <c r="AJ26">
        <f>'附件4 规划外'!Q141</f>
        <v>0</v>
      </c>
      <c r="AK26">
        <f>'附件4 规划外'!R141</f>
        <v>0</v>
      </c>
    </row>
    <row r="27" spans="20:37">
      <c r="T27">
        <f>'附件4 规划外'!A142</f>
        <v>155</v>
      </c>
      <c r="U27" t="str">
        <f>'附件4 规划外'!B142</f>
        <v>尉氏县顺昌纺织有限公司</v>
      </c>
      <c r="V27" t="str">
        <f>'附件4 规划外'!C142</f>
        <v>产业</v>
      </c>
      <c r="W27" t="str">
        <f>'附件4 规划外'!D142</f>
        <v>卧式打包机1台；立式打包机1台；FA002抓棉机2台；105型清花设备（A035混开棉机                      FA106豪猪开棉机）1套；ZM-FFCM-SI分栋机1台；郑纺机FA224梳棉机10台；清钢联棉箱10台；FA320并条机4台；TMF81L自调匀整并条机1台；环球FA494粗纱机1台；金汇丰粗纱机2台；Best516细纱机15台；马佐里129细纱机15台；工业空调1台；SMARO自络机4台；理管机4台；空压机2台；磨皮辊机1台；试验仪器1套；加湿器1台；变压器2台；蒸纱机1台；A035凝棉器1台；200吨电子磅1台；智能处理机1台；摆管机1台；除尘机1台。</v>
      </c>
      <c r="X27">
        <f>'附件4 规划外'!E142</f>
        <v>6</v>
      </c>
      <c r="Y27">
        <f>'附件4 规划外'!F142</f>
        <v>6</v>
      </c>
      <c r="Z27">
        <f>'附件4 规划外'!G142</f>
        <v>0</v>
      </c>
      <c r="AA27">
        <f>'附件4 规划外'!H142</f>
        <v>0</v>
      </c>
      <c r="AB27" t="str">
        <f>'附件4 规划外'!I142</f>
        <v>完工</v>
      </c>
      <c r="AC27">
        <f>'附件4 规划外'!J142</f>
        <v>6</v>
      </c>
      <c r="AD27" t="str">
        <f>'附件4 规划外'!K142</f>
        <v/>
      </c>
      <c r="AE27" t="str">
        <f>'附件4 规划外'!L142</f>
        <v>竣工</v>
      </c>
      <c r="AF27" s="26">
        <f>'附件4 规划外'!M142</f>
        <v>44378</v>
      </c>
      <c r="AG27" s="26">
        <f>'附件4 规划外'!N142</f>
        <v>44440</v>
      </c>
      <c r="AH27" t="str">
        <f>'附件4 规划外'!O142</f>
        <v>市工业和信息化局</v>
      </c>
      <c r="AI27" t="str">
        <f>'附件4 规划外'!P142</f>
        <v>尉氏县</v>
      </c>
      <c r="AJ27">
        <f>'附件4 规划外'!Q142</f>
        <v>0</v>
      </c>
      <c r="AK27">
        <f>'附件4 规划外'!R142</f>
        <v>0</v>
      </c>
    </row>
    <row r="28" spans="20:37">
      <c r="T28">
        <f>'附件4 规划外'!A143</f>
        <v>156</v>
      </c>
      <c r="U28" t="str">
        <f>'附件4 规划外'!B143</f>
        <v>河南金田地农化有限责任公司</v>
      </c>
      <c r="V28" t="str">
        <f>'附件4 规划外'!C143</f>
        <v>产业</v>
      </c>
      <c r="W28" t="str">
        <f>'附件4 规划外'!D143</f>
        <v>颗粒剂车间1套自动投料系统；3台自动贴标机 TN150；4条灌装线 CCG1000-12D；DXD-180D；2台二维码设备 弥特定制</v>
      </c>
      <c r="X28">
        <f>'附件4 规划外'!E143</f>
        <v>10.9</v>
      </c>
      <c r="Y28">
        <f>'附件4 规划外'!F143</f>
        <v>10.9</v>
      </c>
      <c r="Z28">
        <f>'附件4 规划外'!G143</f>
        <v>0</v>
      </c>
      <c r="AA28">
        <f>'附件4 规划外'!H143</f>
        <v>0</v>
      </c>
      <c r="AB28" t="str">
        <f>'附件4 规划外'!I143</f>
        <v>完工</v>
      </c>
      <c r="AC28">
        <f>'附件4 规划外'!J143</f>
        <v>10.9</v>
      </c>
      <c r="AD28" t="str">
        <f>'附件4 规划外'!K143</f>
        <v/>
      </c>
      <c r="AE28" t="str">
        <f>'附件4 规划外'!L143</f>
        <v>竣工</v>
      </c>
      <c r="AF28" s="26">
        <f>'附件4 规划外'!M143</f>
        <v>44378</v>
      </c>
      <c r="AG28" s="26">
        <f>'附件4 规划外'!N143</f>
        <v>44440</v>
      </c>
      <c r="AH28" t="str">
        <f>'附件4 规划外'!O143</f>
        <v>市工业和信息化局</v>
      </c>
      <c r="AI28" t="str">
        <f>'附件4 规划外'!P143</f>
        <v>尉氏县</v>
      </c>
      <c r="AJ28">
        <f>'附件4 规划外'!Q143</f>
        <v>0</v>
      </c>
      <c r="AK28">
        <f>'附件4 规划外'!R143</f>
        <v>0</v>
      </c>
    </row>
    <row r="29" spans="20:37">
      <c r="T29">
        <f>'附件4 规划外'!A144</f>
        <v>157</v>
      </c>
      <c r="U29" t="str">
        <f>'附件4 规划外'!B144</f>
        <v>尉氏县鹏翔木业有限公司</v>
      </c>
      <c r="V29" t="str">
        <f>'附件4 规划外'!C144</f>
        <v>产业</v>
      </c>
      <c r="W29" t="str">
        <f>'附件4 规划外'!D144</f>
        <v>变频器2台；
水分仪2台；
电机5台；
PLC CPU3台；
伺服驱动器3台；
触摸屏1台；
工控机4台；
生产线运行系统瘫痪；
电机软启动器5台；
主电缆线180米</v>
      </c>
      <c r="X29">
        <f>'附件4 规划外'!E144</f>
        <v>0.1</v>
      </c>
      <c r="Y29">
        <f>'附件4 规划外'!F144</f>
        <v>0.1</v>
      </c>
      <c r="Z29">
        <f>'附件4 规划外'!G144</f>
        <v>0</v>
      </c>
      <c r="AA29">
        <f>'附件4 规划外'!H144</f>
        <v>0</v>
      </c>
      <c r="AB29" t="str">
        <f>'附件4 规划外'!I144</f>
        <v>完工</v>
      </c>
      <c r="AC29">
        <f>'附件4 规划外'!J144</f>
        <v>0.1</v>
      </c>
      <c r="AD29" t="str">
        <f>'附件4 规划外'!K144</f>
        <v/>
      </c>
      <c r="AE29" t="str">
        <f>'附件4 规划外'!L144</f>
        <v>竣工</v>
      </c>
      <c r="AF29" s="26">
        <f>'附件4 规划外'!M144</f>
        <v>44378</v>
      </c>
      <c r="AG29" s="26">
        <f>'附件4 规划外'!N144</f>
        <v>44440</v>
      </c>
      <c r="AH29" t="str">
        <f>'附件4 规划外'!O144</f>
        <v>市工业和信息化局</v>
      </c>
      <c r="AI29" t="str">
        <f>'附件4 规划外'!P144</f>
        <v>尉氏县</v>
      </c>
      <c r="AJ29">
        <f>'附件4 规划外'!Q144</f>
        <v>0</v>
      </c>
      <c r="AK29">
        <f>'附件4 规划外'!R144</f>
        <v>0</v>
      </c>
    </row>
    <row r="30" spans="20:37">
      <c r="T30">
        <f>'附件4 规划外'!A145</f>
        <v>158</v>
      </c>
      <c r="U30" t="str">
        <f>'附件4 规划外'!B145</f>
        <v>开封凯乐实业有限公司</v>
      </c>
      <c r="V30" t="str">
        <f>'附件4 规划外'!C145</f>
        <v>产业</v>
      </c>
      <c r="W30" t="str">
        <f>'附件4 规划外'!D145</f>
        <v>电泳整条线、塑胶电镀线、化验室设备和电箱、变频器、继电器等因泡水受损或损坏</v>
      </c>
      <c r="X30">
        <f>'附件4 规划外'!E145</f>
        <v>2</v>
      </c>
      <c r="Y30">
        <f>'附件4 规划外'!F145</f>
        <v>2</v>
      </c>
      <c r="Z30">
        <f>'附件4 规划外'!G145</f>
        <v>0</v>
      </c>
      <c r="AA30">
        <f>'附件4 规划外'!H145</f>
        <v>0</v>
      </c>
      <c r="AB30" t="str">
        <f>'附件4 规划外'!I145</f>
        <v>完工</v>
      </c>
      <c r="AC30">
        <f>'附件4 规划外'!J145</f>
        <v>2</v>
      </c>
      <c r="AD30" t="str">
        <f>'附件4 规划外'!K145</f>
        <v/>
      </c>
      <c r="AE30" t="str">
        <f>'附件4 规划外'!L145</f>
        <v>竣工</v>
      </c>
      <c r="AF30" s="26">
        <f>'附件4 规划外'!M145</f>
        <v>44378</v>
      </c>
      <c r="AG30" s="26">
        <f>'附件4 规划外'!N145</f>
        <v>44440</v>
      </c>
      <c r="AH30" t="str">
        <f>'附件4 规划外'!O145</f>
        <v>市工业和信息化局</v>
      </c>
      <c r="AI30" t="str">
        <f>'附件4 规划外'!P145</f>
        <v>尉氏县</v>
      </c>
      <c r="AJ30">
        <f>'附件4 规划外'!Q145</f>
        <v>0</v>
      </c>
      <c r="AK30">
        <f>'附件4 规划外'!R145</f>
        <v>0</v>
      </c>
    </row>
    <row r="31" spans="20:37">
      <c r="T31">
        <f>'附件4 规划外'!A146</f>
        <v>159</v>
      </c>
      <c r="U31" t="str">
        <f>'附件4 规划外'!B146</f>
        <v>河南远见农业科技有限公司</v>
      </c>
      <c r="V31" t="str">
        <f>'附件4 规划外'!C146</f>
        <v>产业</v>
      </c>
      <c r="W31" t="str">
        <f>'附件4 规划外'!D146</f>
        <v>卧式砂磨机2台，型号：WM50-1；柴油发电机组一套：东方红100GF；电脑3套；LED显示屏一套；产品追溯中控机一套；厂房。</v>
      </c>
      <c r="X31">
        <f>'附件4 规划外'!E146</f>
        <v>4</v>
      </c>
      <c r="Y31">
        <f>'附件4 规划外'!F146</f>
        <v>4</v>
      </c>
      <c r="Z31">
        <f>'附件4 规划外'!G146</f>
        <v>0</v>
      </c>
      <c r="AA31">
        <f>'附件4 规划外'!H146</f>
        <v>0</v>
      </c>
      <c r="AB31" t="str">
        <f>'附件4 规划外'!I146</f>
        <v>完工</v>
      </c>
      <c r="AC31">
        <f>'附件4 规划外'!J146</f>
        <v>4</v>
      </c>
      <c r="AD31" t="str">
        <f>'附件4 规划外'!K146</f>
        <v/>
      </c>
      <c r="AE31" t="str">
        <f>'附件4 规划外'!L146</f>
        <v>竣工</v>
      </c>
      <c r="AF31" s="26">
        <f>'附件4 规划外'!M146</f>
        <v>44378</v>
      </c>
      <c r="AG31" s="26">
        <f>'附件4 规划外'!N146</f>
        <v>44440</v>
      </c>
      <c r="AH31" t="str">
        <f>'附件4 规划外'!O146</f>
        <v>市工业和信息化局</v>
      </c>
      <c r="AI31" t="str">
        <f>'附件4 规划外'!P146</f>
        <v>尉氏县</v>
      </c>
      <c r="AJ31">
        <f>'附件4 规划外'!Q146</f>
        <v>0</v>
      </c>
      <c r="AK31">
        <f>'附件4 规划外'!R146</f>
        <v>0</v>
      </c>
    </row>
    <row r="32" spans="20:37">
      <c r="T32">
        <f>'附件4 规划外'!A147</f>
        <v>160</v>
      </c>
      <c r="U32" t="str">
        <f>'附件4 规划外'!B147</f>
        <v>尉氏县华牧生物科技有限公司</v>
      </c>
      <c r="V32" t="str">
        <f>'附件4 规划外'!C147</f>
        <v>产业</v>
      </c>
      <c r="W32" t="str">
        <f>'附件4 规划外'!D147</f>
        <v>3台膨化机EXP160G-110KW；2台锤式粉碎机SFSP66×80；1台地磅</v>
      </c>
      <c r="X32">
        <f>'附件4 规划外'!E147</f>
        <v>1.5</v>
      </c>
      <c r="Y32">
        <f>'附件4 规划外'!F147</f>
        <v>1.5</v>
      </c>
      <c r="Z32">
        <f>'附件4 规划外'!G147</f>
        <v>0</v>
      </c>
      <c r="AA32">
        <f>'附件4 规划外'!H147</f>
        <v>0</v>
      </c>
      <c r="AB32" t="str">
        <f>'附件4 规划外'!I147</f>
        <v>完工</v>
      </c>
      <c r="AC32">
        <f>'附件4 规划外'!J147</f>
        <v>1.5</v>
      </c>
      <c r="AD32" t="str">
        <f>'附件4 规划外'!K147</f>
        <v/>
      </c>
      <c r="AE32" t="str">
        <f>'附件4 规划外'!L147</f>
        <v>竣工</v>
      </c>
      <c r="AF32" s="26">
        <f>'附件4 规划外'!M147</f>
        <v>44378</v>
      </c>
      <c r="AG32" s="26">
        <f>'附件4 规划外'!N147</f>
        <v>44440</v>
      </c>
      <c r="AH32" t="str">
        <f>'附件4 规划外'!O147</f>
        <v>市工业和信息化局</v>
      </c>
      <c r="AI32" t="str">
        <f>'附件4 规划外'!P147</f>
        <v>尉氏县</v>
      </c>
      <c r="AJ32">
        <f>'附件4 规划外'!Q147</f>
        <v>0</v>
      </c>
      <c r="AK32">
        <f>'附件4 规划外'!R147</f>
        <v>0</v>
      </c>
    </row>
    <row r="33" spans="20:37">
      <c r="T33">
        <f>'附件4 规划外'!A148</f>
        <v>161</v>
      </c>
      <c r="U33" t="str">
        <f>'附件4 规划外'!B148</f>
        <v>开封市腾发木业有限公司</v>
      </c>
      <c r="V33" t="str">
        <f>'附件4 规划外'!C148</f>
        <v>产业</v>
      </c>
      <c r="W33" t="str">
        <f>'附件4 规划外'!D148</f>
        <v>剥板机 找圆机上料机俩台</v>
      </c>
      <c r="X33">
        <f>'附件4 规划外'!E148</f>
        <v>1</v>
      </c>
      <c r="Y33">
        <f>'附件4 规划外'!F148</f>
        <v>1</v>
      </c>
      <c r="Z33">
        <f>'附件4 规划外'!G148</f>
        <v>0</v>
      </c>
      <c r="AA33">
        <f>'附件4 规划外'!H148</f>
        <v>0</v>
      </c>
      <c r="AB33" t="str">
        <f>'附件4 规划外'!I148</f>
        <v>完工</v>
      </c>
      <c r="AC33">
        <f>'附件4 规划外'!J148</f>
        <v>1</v>
      </c>
      <c r="AD33" t="str">
        <f>'附件4 规划外'!K148</f>
        <v/>
      </c>
      <c r="AE33" t="str">
        <f>'附件4 规划外'!L148</f>
        <v>竣工</v>
      </c>
      <c r="AF33" s="26">
        <f>'附件4 规划外'!M148</f>
        <v>44378</v>
      </c>
      <c r="AG33" s="26">
        <f>'附件4 规划外'!N148</f>
        <v>44440</v>
      </c>
      <c r="AH33" t="str">
        <f>'附件4 规划外'!O148</f>
        <v>市工业和信息化局</v>
      </c>
      <c r="AI33" t="str">
        <f>'附件4 规划外'!P148</f>
        <v>尉氏县</v>
      </c>
      <c r="AJ33">
        <f>'附件4 规划外'!Q148</f>
        <v>0</v>
      </c>
      <c r="AK33">
        <f>'附件4 规划外'!R148</f>
        <v>0</v>
      </c>
    </row>
    <row r="34" spans="20:37">
      <c r="T34">
        <f>'附件4 规划外'!A149</f>
        <v>162</v>
      </c>
      <c r="U34" t="str">
        <f>'附件4 规划外'!B149</f>
        <v>尉氏县智诚彩印包装有限公司</v>
      </c>
      <c r="V34" t="str">
        <f>'附件4 规划外'!C149</f>
        <v>产业</v>
      </c>
      <c r="W34" t="str">
        <f>'附件4 规划外'!D149</f>
        <v>hT-850型全自动印刷机1台，Tl-1050无溶剂复合机2台，DH-850干式复合机1台，600全自动制袋机5台，分切机1台，化验室设备透湿透氧仪器，气象色谱仪，拉力机，摩擦系数仪，高温蒸煮锅，水份测试仪各1台</v>
      </c>
      <c r="X34">
        <f>'附件4 规划外'!E149</f>
        <v>1.8</v>
      </c>
      <c r="Y34">
        <f>'附件4 规划外'!F149</f>
        <v>1.8</v>
      </c>
      <c r="Z34">
        <f>'附件4 规划外'!G149</f>
        <v>0</v>
      </c>
      <c r="AA34">
        <f>'附件4 规划外'!H149</f>
        <v>0</v>
      </c>
      <c r="AB34" t="str">
        <f>'附件4 规划外'!I149</f>
        <v>完工</v>
      </c>
      <c r="AC34">
        <f>'附件4 规划外'!J149</f>
        <v>1.8</v>
      </c>
      <c r="AD34" t="str">
        <f>'附件4 规划外'!K149</f>
        <v/>
      </c>
      <c r="AE34" t="str">
        <f>'附件4 规划外'!L149</f>
        <v>竣工</v>
      </c>
      <c r="AF34" s="26">
        <f>'附件4 规划外'!M149</f>
        <v>44378</v>
      </c>
      <c r="AG34" s="26">
        <f>'附件4 规划外'!N149</f>
        <v>44440</v>
      </c>
      <c r="AH34" t="str">
        <f>'附件4 规划外'!O149</f>
        <v>市工业和信息化局</v>
      </c>
      <c r="AI34" t="str">
        <f>'附件4 规划外'!P149</f>
        <v>尉氏县</v>
      </c>
      <c r="AJ34">
        <f>'附件4 规划外'!Q149</f>
        <v>0</v>
      </c>
      <c r="AK34">
        <f>'附件4 规划外'!R149</f>
        <v>0</v>
      </c>
    </row>
    <row r="35" spans="20:37">
      <c r="T35">
        <f>'附件4 规划外'!A150</f>
        <v>163</v>
      </c>
      <c r="U35" t="str">
        <f>'附件4 规划外'!B150</f>
        <v>开封精辉建筑材料有限公司</v>
      </c>
      <c r="V35" t="str">
        <f>'附件4 规划外'!C150</f>
        <v>产业</v>
      </c>
      <c r="W35" t="str">
        <f>'附件4 规划外'!D150</f>
        <v>电机维修95台
电机更换30台
电柜更换5台
液压油更换12桶
更换电线
数控柜5个
震动箱3台
光电70个砖机设备1套
管机设备1套</v>
      </c>
      <c r="X35">
        <f>'附件4 规划外'!E150</f>
        <v>5.5</v>
      </c>
      <c r="Y35">
        <f>'附件4 规划外'!F150</f>
        <v>5.5</v>
      </c>
      <c r="Z35">
        <f>'附件4 规划外'!G150</f>
        <v>0</v>
      </c>
      <c r="AA35">
        <f>'附件4 规划外'!H150</f>
        <v>0</v>
      </c>
      <c r="AB35" t="str">
        <f>'附件4 规划外'!I150</f>
        <v>完工</v>
      </c>
      <c r="AC35">
        <f>'附件4 规划外'!J150</f>
        <v>5.5</v>
      </c>
      <c r="AD35" t="str">
        <f>'附件4 规划外'!K150</f>
        <v/>
      </c>
      <c r="AE35" t="str">
        <f>'附件4 规划外'!L150</f>
        <v>竣工</v>
      </c>
      <c r="AF35" s="26">
        <f>'附件4 规划外'!M150</f>
        <v>44378</v>
      </c>
      <c r="AG35" s="26">
        <f>'附件4 规划外'!N150</f>
        <v>44440</v>
      </c>
      <c r="AH35" t="str">
        <f>'附件4 规划外'!O150</f>
        <v>市工业和信息化局</v>
      </c>
      <c r="AI35" t="str">
        <f>'附件4 规划外'!P150</f>
        <v>尉氏县</v>
      </c>
      <c r="AJ35">
        <f>'附件4 规划外'!Q150</f>
        <v>0</v>
      </c>
      <c r="AK35">
        <f>'附件4 规划外'!R150</f>
        <v>0</v>
      </c>
    </row>
    <row r="36" spans="20:37">
      <c r="T36">
        <f>'附件4 规划外'!A151</f>
        <v>164</v>
      </c>
      <c r="U36" t="str">
        <f>'附件4 规划外'!B151</f>
        <v>尉氏县青山木材加工厂</v>
      </c>
      <c r="V36" t="str">
        <f>'附件4 规划外'!C151</f>
        <v>产业</v>
      </c>
      <c r="W36" t="str">
        <f>'附件4 规划外'!D151</f>
        <v>接皮机受损，旋切机报废，三个上料机受损，找圆机受损，断木机受损。</v>
      </c>
      <c r="X36">
        <f>'附件4 规划外'!E151</f>
        <v>6.5</v>
      </c>
      <c r="Y36">
        <f>'附件4 规划外'!F151</f>
        <v>6.5</v>
      </c>
      <c r="Z36">
        <f>'附件4 规划外'!G151</f>
        <v>0</v>
      </c>
      <c r="AA36">
        <f>'附件4 规划外'!H151</f>
        <v>0</v>
      </c>
      <c r="AB36" t="str">
        <f>'附件4 规划外'!I151</f>
        <v>完工</v>
      </c>
      <c r="AC36">
        <f>'附件4 规划外'!J151</f>
        <v>6.5</v>
      </c>
      <c r="AD36" t="str">
        <f>'附件4 规划外'!K151</f>
        <v/>
      </c>
      <c r="AE36" t="str">
        <f>'附件4 规划外'!L151</f>
        <v>竣工</v>
      </c>
      <c r="AF36" s="26">
        <f>'附件4 规划外'!M151</f>
        <v>44378</v>
      </c>
      <c r="AG36" s="26">
        <f>'附件4 规划外'!N151</f>
        <v>44440</v>
      </c>
      <c r="AH36" t="str">
        <f>'附件4 规划外'!O151</f>
        <v>市工业和信息化局</v>
      </c>
      <c r="AI36" t="str">
        <f>'附件4 规划外'!P151</f>
        <v>尉氏县</v>
      </c>
      <c r="AJ36">
        <f>'附件4 规划外'!Q151</f>
        <v>0</v>
      </c>
      <c r="AK36">
        <f>'附件4 规划外'!R151</f>
        <v>0</v>
      </c>
    </row>
    <row r="37" spans="20:37">
      <c r="T37">
        <f>'附件4 规划外'!A152</f>
        <v>165</v>
      </c>
      <c r="U37" t="str">
        <f>'附件4 规划外'!B152</f>
        <v>开封市开泰大地饲料有限公司</v>
      </c>
      <c r="V37" t="str">
        <f>'附件4 规划外'!C152</f>
        <v>产业</v>
      </c>
      <c r="W37" t="str">
        <f>'附件4 规划外'!D152</f>
        <v>5个提升机；玉米刮板；粉碎机刮板；空压机；预混料提升机；生物发酵罐2个；打包机</v>
      </c>
      <c r="X37">
        <f>'附件4 规划外'!E152</f>
        <v>3</v>
      </c>
      <c r="Y37">
        <f>'附件4 规划外'!F152</f>
        <v>3</v>
      </c>
      <c r="Z37">
        <f>'附件4 规划外'!G152</f>
        <v>0</v>
      </c>
      <c r="AA37">
        <f>'附件4 规划外'!H152</f>
        <v>0</v>
      </c>
      <c r="AB37" t="str">
        <f>'附件4 规划外'!I152</f>
        <v>完工</v>
      </c>
      <c r="AC37">
        <f>'附件4 规划外'!J152</f>
        <v>3</v>
      </c>
      <c r="AD37" t="str">
        <f>'附件4 规划外'!K152</f>
        <v/>
      </c>
      <c r="AE37" t="str">
        <f>'附件4 规划外'!L152</f>
        <v>竣工</v>
      </c>
      <c r="AF37" s="26">
        <f>'附件4 规划外'!M152</f>
        <v>44378</v>
      </c>
      <c r="AG37" s="26">
        <f>'附件4 规划外'!N152</f>
        <v>44440</v>
      </c>
      <c r="AH37" t="str">
        <f>'附件4 规划外'!O152</f>
        <v>市工业和信息化局</v>
      </c>
      <c r="AI37" t="str">
        <f>'附件4 规划外'!P152</f>
        <v>尉氏县</v>
      </c>
      <c r="AJ37">
        <f>'附件4 规划外'!Q152</f>
        <v>0</v>
      </c>
      <c r="AK37">
        <f>'附件4 规划外'!R152</f>
        <v>0</v>
      </c>
    </row>
    <row r="38" spans="20:37">
      <c r="T38">
        <f>'附件4 规划外'!A153</f>
        <v>166</v>
      </c>
      <c r="U38" t="str">
        <f>'附件4 规划外'!B153</f>
        <v>河南水到渠成建材有限公司</v>
      </c>
      <c r="V38" t="str">
        <f>'附件4 规划外'!C153</f>
        <v>产业</v>
      </c>
      <c r="W38" t="str">
        <f>'附件4 规划外'!D153</f>
        <v>电机维修78台
电机更换30台
电柜更换3台
震动箱3台
光电60个</v>
      </c>
      <c r="X38">
        <f>'附件4 规划外'!E153</f>
        <v>4</v>
      </c>
      <c r="Y38">
        <f>'附件4 规划外'!F153</f>
        <v>4</v>
      </c>
      <c r="Z38">
        <f>'附件4 规划外'!G153</f>
        <v>0</v>
      </c>
      <c r="AA38">
        <f>'附件4 规划外'!H153</f>
        <v>0</v>
      </c>
      <c r="AB38" t="str">
        <f>'附件4 规划外'!I153</f>
        <v>完工</v>
      </c>
      <c r="AC38">
        <f>'附件4 规划外'!J153</f>
        <v>4</v>
      </c>
      <c r="AD38" t="str">
        <f>'附件4 规划外'!K153</f>
        <v/>
      </c>
      <c r="AE38" t="str">
        <f>'附件4 规划外'!L153</f>
        <v>竣工</v>
      </c>
      <c r="AF38" s="26">
        <f>'附件4 规划外'!M153</f>
        <v>44378</v>
      </c>
      <c r="AG38" s="26">
        <f>'附件4 规划外'!N153</f>
        <v>44440</v>
      </c>
      <c r="AH38" t="str">
        <f>'附件4 规划外'!O153</f>
        <v>市工业和信息化局</v>
      </c>
      <c r="AI38" t="str">
        <f>'附件4 规划外'!P153</f>
        <v>尉氏县</v>
      </c>
      <c r="AJ38">
        <f>'附件4 规划外'!Q153</f>
        <v>0</v>
      </c>
      <c r="AK38">
        <f>'附件4 规划外'!R153</f>
        <v>0</v>
      </c>
    </row>
    <row r="39" spans="20:37">
      <c r="T39">
        <f>'附件4 规划外'!A154</f>
        <v>167</v>
      </c>
      <c r="U39" t="str">
        <f>'附件4 规划外'!B154</f>
        <v>开封市泰宇商砼有限公司</v>
      </c>
      <c r="V39" t="str">
        <f>'附件4 规划外'!C154</f>
        <v>产业</v>
      </c>
      <c r="W39" t="str">
        <f>'附件4 规划外'!D154</f>
        <v>W-1.5/8(TA-120)空压机2台，JNY-50A空气压缩机1台，JS3000型中联180生产线，MAO4500/3000SDY00型仕高玛180生产线，YZF40型砂石分离机，雾森喷淋设备</v>
      </c>
      <c r="X39">
        <f>'附件4 规划外'!E154</f>
        <v>1.8</v>
      </c>
      <c r="Y39">
        <f>'附件4 规划外'!F154</f>
        <v>1.8</v>
      </c>
      <c r="Z39">
        <f>'附件4 规划外'!G154</f>
        <v>0</v>
      </c>
      <c r="AA39">
        <f>'附件4 规划外'!H154</f>
        <v>0</v>
      </c>
      <c r="AB39" t="str">
        <f>'附件4 规划外'!I154</f>
        <v>完工</v>
      </c>
      <c r="AC39">
        <f>'附件4 规划外'!J154</f>
        <v>1.8</v>
      </c>
      <c r="AD39" t="str">
        <f>'附件4 规划外'!K154</f>
        <v/>
      </c>
      <c r="AE39" t="str">
        <f>'附件4 规划外'!L154</f>
        <v>竣工</v>
      </c>
      <c r="AF39" s="26">
        <f>'附件4 规划外'!M154</f>
        <v>44378</v>
      </c>
      <c r="AG39" s="26">
        <f>'附件4 规划外'!N154</f>
        <v>44440</v>
      </c>
      <c r="AH39" t="str">
        <f>'附件4 规划外'!O154</f>
        <v>市工业和信息化局</v>
      </c>
      <c r="AI39" t="str">
        <f>'附件4 规划外'!P154</f>
        <v>尉氏县</v>
      </c>
      <c r="AJ39">
        <f>'附件4 规划外'!Q154</f>
        <v>0</v>
      </c>
      <c r="AK39">
        <f>'附件4 规划外'!R154</f>
        <v>0</v>
      </c>
    </row>
    <row r="40" spans="20:37">
      <c r="T40">
        <f>'附件4 规划外'!A155</f>
        <v>168</v>
      </c>
      <c r="U40" t="str">
        <f>'附件4 规划外'!B155</f>
        <v>开封市丰源新型建筑材料有限公司</v>
      </c>
      <c r="V40" t="str">
        <f>'附件4 规划外'!C155</f>
        <v>产业</v>
      </c>
      <c r="W40" t="str">
        <f>'附件4 规划外'!D155</f>
        <v>电柜：7个、电机：26台、天然气站：1座、燃烧机：2台、引风机：2台、空压机：2台、燃烧炉：1台、烘干机：1台、输送机：3套、震动筛：1台、脉冲除尘设备：1台</v>
      </c>
      <c r="X40">
        <f>'附件4 规划外'!E155</f>
        <v>1.04</v>
      </c>
      <c r="Y40">
        <f>'附件4 规划外'!F155</f>
        <v>1.04</v>
      </c>
      <c r="Z40">
        <f>'附件4 规划外'!G155</f>
        <v>0</v>
      </c>
      <c r="AA40">
        <f>'附件4 规划外'!H155</f>
        <v>0</v>
      </c>
      <c r="AB40" t="str">
        <f>'附件4 规划外'!I155</f>
        <v>完工</v>
      </c>
      <c r="AC40">
        <f>'附件4 规划外'!J155</f>
        <v>1.04</v>
      </c>
      <c r="AD40" t="str">
        <f>'附件4 规划外'!K155</f>
        <v/>
      </c>
      <c r="AE40" t="str">
        <f>'附件4 规划外'!L155</f>
        <v>竣工</v>
      </c>
      <c r="AF40" s="26">
        <f>'附件4 规划外'!M155</f>
        <v>44378</v>
      </c>
      <c r="AG40" s="26">
        <f>'附件4 规划外'!N155</f>
        <v>44440</v>
      </c>
      <c r="AH40" t="str">
        <f>'附件4 规划外'!O155</f>
        <v>市工业和信息化局</v>
      </c>
      <c r="AI40" t="str">
        <f>'附件4 规划外'!P155</f>
        <v>尉氏县</v>
      </c>
      <c r="AJ40">
        <f>'附件4 规划外'!Q155</f>
        <v>0</v>
      </c>
      <c r="AK40">
        <f>'附件4 规划外'!R155</f>
        <v>0</v>
      </c>
    </row>
    <row r="41" spans="20:37">
      <c r="T41">
        <f>'附件4 规划外'!A156</f>
        <v>169</v>
      </c>
      <c r="U41" t="str">
        <f>'附件4 规划外'!B156</f>
        <v>尉氏县水坡镇吸管厂</v>
      </c>
      <c r="V41" t="str">
        <f>'附件4 规划外'!C156</f>
        <v>产业</v>
      </c>
      <c r="W41" t="str">
        <f>'附件4 规划外'!D156</f>
        <v>JY038型吸管挤出机两条生产线，JY030型全自动吸管多支包装机3台，JY033型全自动单支连排包装机2台</v>
      </c>
      <c r="X41">
        <f>'附件4 规划外'!E156</f>
        <v>89</v>
      </c>
      <c r="Y41">
        <f>'附件4 规划外'!F156</f>
        <v>89</v>
      </c>
      <c r="Z41">
        <f>'附件4 规划外'!G156</f>
        <v>0</v>
      </c>
      <c r="AA41">
        <f>'附件4 规划外'!H156</f>
        <v>0</v>
      </c>
      <c r="AB41" t="str">
        <f>'附件4 规划外'!I156</f>
        <v>完工</v>
      </c>
      <c r="AC41">
        <f>'附件4 规划外'!J156</f>
        <v>89</v>
      </c>
      <c r="AD41" t="str">
        <f>'附件4 规划外'!K156</f>
        <v/>
      </c>
      <c r="AE41" t="str">
        <f>'附件4 规划外'!L156</f>
        <v>竣工</v>
      </c>
      <c r="AF41" s="26">
        <f>'附件4 规划外'!M156</f>
        <v>44378</v>
      </c>
      <c r="AG41" s="26">
        <f>'附件4 规划外'!N156</f>
        <v>44440</v>
      </c>
      <c r="AH41" t="str">
        <f>'附件4 规划外'!O156</f>
        <v>市工业和信息化局</v>
      </c>
      <c r="AI41" t="str">
        <f>'附件4 规划外'!P156</f>
        <v>尉氏县</v>
      </c>
      <c r="AJ41">
        <f>'附件4 规划外'!Q156</f>
        <v>0</v>
      </c>
      <c r="AK41">
        <f>'附件4 规划外'!R156</f>
        <v>0</v>
      </c>
    </row>
    <row r="42" spans="20:37">
      <c r="T42">
        <f>'附件4 规划外'!A157</f>
        <v>170</v>
      </c>
      <c r="U42" t="str">
        <f>'附件4 规划外'!B157</f>
        <v>河南森林金源科技发展有限公司</v>
      </c>
      <c r="V42" t="str">
        <f>'附件4 规划外'!C157</f>
        <v>产业</v>
      </c>
      <c r="W42" t="str">
        <f>'附件4 规划外'!D157</f>
        <v>50kw发电机组1套
消防机组 1套
激光切割机1台
电焊机8台
高精度开板机4台
覆膜机 1台
40吨折弯机 1台
20吨折弯机 1台
螺杆机气泵4台
18Kw脉冲除尘器2台
液压校平机1台
冲床1台
攻丝机1台</v>
      </c>
      <c r="X42">
        <f>'附件4 规划外'!E157</f>
        <v>8</v>
      </c>
      <c r="Y42">
        <f>'附件4 规划外'!F157</f>
        <v>8</v>
      </c>
      <c r="Z42">
        <f>'附件4 规划外'!G157</f>
        <v>0</v>
      </c>
      <c r="AA42">
        <f>'附件4 规划外'!H157</f>
        <v>0</v>
      </c>
      <c r="AB42" t="str">
        <f>'附件4 规划外'!I157</f>
        <v>完工</v>
      </c>
      <c r="AC42">
        <f>'附件4 规划外'!J157</f>
        <v>8</v>
      </c>
      <c r="AD42" t="str">
        <f>'附件4 规划外'!K157</f>
        <v/>
      </c>
      <c r="AE42" t="str">
        <f>'附件4 规划外'!L157</f>
        <v>竣工</v>
      </c>
      <c r="AF42" s="26">
        <f>'附件4 规划外'!M157</f>
        <v>44378</v>
      </c>
      <c r="AG42" s="26">
        <f>'附件4 规划外'!N157</f>
        <v>44440</v>
      </c>
      <c r="AH42" t="str">
        <f>'附件4 规划外'!O157</f>
        <v>市工业和信息化局</v>
      </c>
      <c r="AI42" t="str">
        <f>'附件4 规划外'!P157</f>
        <v>尉氏县</v>
      </c>
      <c r="AJ42">
        <f>'附件4 规划外'!Q157</f>
        <v>0</v>
      </c>
      <c r="AK42">
        <f>'附件4 规划外'!R157</f>
        <v>0</v>
      </c>
    </row>
    <row r="43" spans="20:37">
      <c r="T43">
        <f>'附件4 规划外'!A158</f>
        <v>171</v>
      </c>
      <c r="U43" t="str">
        <f>'附件4 规划外'!B158</f>
        <v>开封市欧仕达金属有限公司</v>
      </c>
      <c r="V43" t="str">
        <f>'附件4 规划外'!C158</f>
        <v>产业</v>
      </c>
      <c r="W43" t="str">
        <f>'附件4 规划外'!D158</f>
        <v>地磅、叉车、截锭机、光谱设备、生产线进水无法使用</v>
      </c>
      <c r="X43">
        <f>'附件4 规划外'!E158</f>
        <v>6.5</v>
      </c>
      <c r="Y43">
        <f>'附件4 规划外'!F158</f>
        <v>6.5</v>
      </c>
      <c r="Z43">
        <f>'附件4 规划外'!G158</f>
        <v>0</v>
      </c>
      <c r="AA43">
        <f>'附件4 规划外'!H158</f>
        <v>0</v>
      </c>
      <c r="AB43" t="str">
        <f>'附件4 规划外'!I158</f>
        <v>完工</v>
      </c>
      <c r="AC43">
        <f>'附件4 规划外'!J158</f>
        <v>6.5</v>
      </c>
      <c r="AD43" t="str">
        <f>'附件4 规划外'!K158</f>
        <v/>
      </c>
      <c r="AE43" t="str">
        <f>'附件4 规划外'!L158</f>
        <v>竣工</v>
      </c>
      <c r="AF43" s="26">
        <f>'附件4 规划外'!M158</f>
        <v>44378</v>
      </c>
      <c r="AG43" s="26">
        <f>'附件4 规划外'!N158</f>
        <v>44440</v>
      </c>
      <c r="AH43" t="str">
        <f>'附件4 规划外'!O158</f>
        <v>市工业和信息化局</v>
      </c>
      <c r="AI43" t="str">
        <f>'附件4 规划外'!P158</f>
        <v>尉氏县</v>
      </c>
      <c r="AJ43">
        <f>'附件4 规划外'!Q158</f>
        <v>0</v>
      </c>
      <c r="AK43">
        <f>'附件4 规划外'!R158</f>
        <v>0</v>
      </c>
    </row>
    <row r="44" spans="20:37">
      <c r="T44">
        <f>'附件4 规划外'!A159</f>
        <v>172</v>
      </c>
      <c r="U44" t="str">
        <f>'附件4 规划外'!B159</f>
        <v>开封市弘发轨道交通装备有限公司</v>
      </c>
      <c r="V44" t="str">
        <f>'附件4 规划外'!C159</f>
        <v>产业</v>
      </c>
      <c r="W44" t="str">
        <f>'附件4 规划外'!D159</f>
        <v>中频炉、电阻炉、射芯机、造型机、混砂机、电焊机、压力机、气刨机、车床、铣床、钻床、刨床、锯床、起重机、抛丸机、变压器、光谱仪、拉力机、硬度机、冲击机、探伤机、低温槽、各种生产模具等设备510台进水报废无法使用</v>
      </c>
      <c r="X44">
        <f>'附件4 规划外'!E159</f>
        <v>22</v>
      </c>
      <c r="Y44">
        <f>'附件4 规划外'!F159</f>
        <v>22</v>
      </c>
      <c r="Z44">
        <f>'附件4 规划外'!G159</f>
        <v>0</v>
      </c>
      <c r="AA44">
        <f>'附件4 规划外'!H159</f>
        <v>0</v>
      </c>
      <c r="AB44" t="str">
        <f>'附件4 规划外'!I159</f>
        <v>完工</v>
      </c>
      <c r="AC44">
        <f>'附件4 规划外'!J159</f>
        <v>22</v>
      </c>
      <c r="AD44" t="str">
        <f>'附件4 规划外'!K159</f>
        <v/>
      </c>
      <c r="AE44" t="str">
        <f>'附件4 规划外'!L159</f>
        <v>竣工</v>
      </c>
      <c r="AF44" s="26">
        <f>'附件4 规划外'!M159</f>
        <v>44378</v>
      </c>
      <c r="AG44" s="26">
        <f>'附件4 规划外'!N159</f>
        <v>44440</v>
      </c>
      <c r="AH44" t="str">
        <f>'附件4 规划外'!O159</f>
        <v>市工业和信息化局</v>
      </c>
      <c r="AI44" t="str">
        <f>'附件4 规划外'!P159</f>
        <v>尉氏县</v>
      </c>
      <c r="AJ44">
        <f>'附件4 规划外'!Q159</f>
        <v>0</v>
      </c>
      <c r="AK44">
        <f>'附件4 规划外'!R159</f>
        <v>0</v>
      </c>
    </row>
    <row r="45" spans="20:37">
      <c r="T45">
        <f>'附件4 规划外'!A160</f>
        <v>173</v>
      </c>
      <c r="U45" t="str">
        <f>'附件4 规划外'!B160</f>
        <v>郑州钜丰家具有限公司</v>
      </c>
      <c r="V45" t="str">
        <f>'附件4 规划外'!C160</f>
        <v>产业</v>
      </c>
      <c r="W45" t="str">
        <f>'附件4 规划外'!D160</f>
        <v>jack杰克K5-D电脑工业平缝机8台，jack杰克C4高速电脑绷缝机4台，jack杰克E3包缝机2台，jack杰克C5电脑工业拷边机2台，5T电脑升降机一台，冷轧机一台，电机3台</v>
      </c>
      <c r="X45">
        <f>'附件4 规划外'!E160</f>
        <v>5</v>
      </c>
      <c r="Y45">
        <f>'附件4 规划外'!F160</f>
        <v>5</v>
      </c>
      <c r="Z45">
        <f>'附件4 规划外'!G160</f>
        <v>0</v>
      </c>
      <c r="AA45">
        <f>'附件4 规划外'!H160</f>
        <v>0</v>
      </c>
      <c r="AB45" t="str">
        <f>'附件4 规划外'!I160</f>
        <v>完工</v>
      </c>
      <c r="AC45">
        <f>'附件4 规划外'!J160</f>
        <v>5</v>
      </c>
      <c r="AD45" t="str">
        <f>'附件4 规划外'!K160</f>
        <v/>
      </c>
      <c r="AE45" t="str">
        <f>'附件4 规划外'!L160</f>
        <v>竣工</v>
      </c>
      <c r="AF45" s="26">
        <f>'附件4 规划外'!M160</f>
        <v>44378</v>
      </c>
      <c r="AG45" s="26">
        <f>'附件4 规划外'!N160</f>
        <v>44440</v>
      </c>
      <c r="AH45" t="str">
        <f>'附件4 规划外'!O160</f>
        <v>市工业和信息化局</v>
      </c>
      <c r="AI45" t="str">
        <f>'附件4 规划外'!P160</f>
        <v>尉氏县</v>
      </c>
      <c r="AJ45">
        <f>'附件4 规划外'!Q160</f>
        <v>0</v>
      </c>
      <c r="AK45">
        <f>'附件4 规划外'!R160</f>
        <v>0</v>
      </c>
    </row>
    <row r="46" spans="20:37">
      <c r="T46">
        <f>'附件4 规划外'!A161</f>
        <v>174</v>
      </c>
      <c r="U46" t="str">
        <f>'附件4 规划外'!B161</f>
        <v>开封市新科锌业有限公司</v>
      </c>
      <c r="V46" t="str">
        <f>'附件4 规划外'!C161</f>
        <v>产业</v>
      </c>
      <c r="W46" t="str">
        <f>'附件4 规划外'!D161</f>
        <v>粉碎机37KW自耦减压起动柜2台、37KW粉碎机电机、雷蒙磨132KW电机、雷蒙磨配套90KW电机、输送3KW电机、窑头二次风11kw电机、窑头收尘7.5KW电机、鄂破机7.5KW电机、20门脉冲控制仪、徐工500KV装载机4台、柳工35叉车3台、引风机132KW电机、引风机132KW变频器、引风机132KW变频器、ZX7-400电焊机3台、45KW自耦减压起动柜、粉碎机配套45KW电机、75KW自耦减压起动柜、110KW罗茨风机、110KW罗茨风机电机、30KW罗茨风机、30KW罗茨风机电机、30KW变频器、11KW变频器、4KW台磨、15KW离心泵电机6台、7.5KW离心泵电机4台、37KW空压机、高压喷雾机8台、40KW调速电机、7.5KW刮板机电机12台、40*60刮板机144米、200KW引风机变频器、200KW引风机含电机、100门脉冲控制仪2台、20门脉冲控制仪3台、7.5KW提升机电机、4KW绞龙电机6台、输送3KW电机、2.5回转窑托轮、400kva发电机组、250KW罗茨风机、250KW罗茨风机电机、250KW引风机、250KW引风机电机、250KW变频器2台、90KW罗茨风机、90KW罗茨风机电机、90KW变频器、7.5KW窑头鼓风机、7.5KW变频器、TDY75型油冷式电动滚筒、7.5KW提升机电机4台、37KW空压机2台、630kva发电机组、30KW循环水泵电机2台、7.5KW循环水泵电机2台、22KW给浆水泵电机、11KW给浆水泵电机3台、37KW罗茨风机、37KW罗茨风机电机、90KW变频器、90KW窑头收尘电机、PLC脱硫控制系统、CKG湿电除尘程控系统、工控机3台、在线UPS电源、在线制冷器、在线蠕动泵、在线紫外烟气分析仪、在线湿度仪、用电监控设施10套、门禁系统</v>
      </c>
      <c r="X46">
        <f>'附件4 规划外'!E161</f>
        <v>0</v>
      </c>
      <c r="Y46">
        <f>'附件4 规划外'!F161</f>
        <v>0</v>
      </c>
      <c r="Z46">
        <f>'附件4 规划外'!G161</f>
        <v>0</v>
      </c>
      <c r="AA46">
        <f>'附件4 规划外'!H161</f>
        <v>0</v>
      </c>
      <c r="AB46" t="str">
        <f>'附件4 规划外'!I161</f>
        <v>完工</v>
      </c>
      <c r="AC46">
        <f>'附件4 规划外'!J161</f>
        <v>0</v>
      </c>
      <c r="AD46" t="str">
        <f>'附件4 规划外'!K161</f>
        <v/>
      </c>
      <c r="AE46" t="str">
        <f>'附件4 规划外'!L161</f>
        <v>竣工</v>
      </c>
      <c r="AF46" s="26">
        <f>'附件4 规划外'!M161</f>
        <v>44378</v>
      </c>
      <c r="AG46" s="26">
        <f>'附件4 规划外'!N161</f>
        <v>44440</v>
      </c>
      <c r="AH46" t="str">
        <f>'附件4 规划外'!O161</f>
        <v>市工业和信息化局</v>
      </c>
      <c r="AI46" t="str">
        <f>'附件4 规划外'!P161</f>
        <v>尉氏县</v>
      </c>
      <c r="AJ46">
        <f>'附件4 规划外'!Q161</f>
        <v>0</v>
      </c>
      <c r="AK46">
        <f>'附件4 规划外'!R161</f>
        <v>0</v>
      </c>
    </row>
    <row r="47" spans="20:37">
      <c r="T47">
        <f>'附件4 规划外'!A162</f>
        <v>175</v>
      </c>
      <c r="U47" t="str">
        <f>'附件4 规划外'!B162</f>
        <v>尉氏县运通金属材料有限公司</v>
      </c>
      <c r="V47" t="str">
        <f>'附件4 规划外'!C162</f>
        <v>产业</v>
      </c>
      <c r="W47" t="str">
        <f>'附件4 规划外'!D162</f>
        <v>50型铲车3台维修15万
630KW变压器1台换新6万
250KW变频器1台换新3.6万
180KW变频器1台换新1.8万
132KW变频器1台换新1.5万
90KW变频器1台换新1.2万
250KW电机2台换新24万
155KW电机1台换新8万
55KW电机3台换新12万
15KW电机15台换新15万
罗茨风机250型1台维修18万
罗茨风机155型1台维修12万
7.5KW电机15台换新9万
化验室设备一套换新20万
发电机1100KW维修12.5万
扫地车1辆维修8万
38型叉车1辆维修1万
布袋1000条换新21万
窑砖80吨换新40万
拖轮4个维修16万
浇注料30吨换新18万</v>
      </c>
      <c r="X47">
        <f>'附件4 规划外'!E162</f>
        <v>5</v>
      </c>
      <c r="Y47">
        <f>'附件4 规划外'!F162</f>
        <v>5</v>
      </c>
      <c r="Z47">
        <f>'附件4 规划外'!G162</f>
        <v>0</v>
      </c>
      <c r="AA47">
        <f>'附件4 规划外'!H162</f>
        <v>0</v>
      </c>
      <c r="AB47" t="str">
        <f>'附件4 规划外'!I162</f>
        <v>完工</v>
      </c>
      <c r="AC47">
        <f>'附件4 规划外'!J162</f>
        <v>5</v>
      </c>
      <c r="AD47" t="str">
        <f>'附件4 规划外'!K162</f>
        <v/>
      </c>
      <c r="AE47" t="str">
        <f>'附件4 规划外'!L162</f>
        <v>竣工</v>
      </c>
      <c r="AF47" s="26">
        <f>'附件4 规划外'!M162</f>
        <v>44378</v>
      </c>
      <c r="AG47" s="26">
        <f>'附件4 规划外'!N162</f>
        <v>44440</v>
      </c>
      <c r="AH47" t="str">
        <f>'附件4 规划外'!O162</f>
        <v>市工业和信息化局</v>
      </c>
      <c r="AI47" t="str">
        <f>'附件4 规划外'!P162</f>
        <v>尉氏县</v>
      </c>
      <c r="AJ47">
        <f>'附件4 规划外'!Q162</f>
        <v>0</v>
      </c>
      <c r="AK47">
        <f>'附件4 规划外'!R162</f>
        <v>0</v>
      </c>
    </row>
    <row r="48" spans="20:37">
      <c r="T48">
        <f>'附件4 规划外'!A163</f>
        <v>176</v>
      </c>
      <c r="U48" t="str">
        <f>'附件4 规划外'!B163</f>
        <v>河南邦辰服饰有限公司</v>
      </c>
      <c r="V48" t="str">
        <f>'附件4 规划外'!C163</f>
        <v>产业</v>
      </c>
      <c r="W48" t="str">
        <f>'附件4 规划外'!D163</f>
        <v>服装罗纹编织横机机：5台（金鹏-602）。富山平缝机：5台，型号：H9300-7D。中缝重工全自动模板机：1台，型号：GC913C-JC。富山多针机：1台，型号：HW800TA。富山锁眼机：1台，型号：HBH-1790B.烫台3台，蒸汽发生器1台12千瓦。粘合机1台，型号：NH500.大洋裁刀2台，型号DY-1603.小裁刀5台。自动松布机1台，型号：BC-2000.绘图仪一台，型号：迈瑞-205C.断布机2台，型号：大洋-2400C。裁台4台，2000*14400，2000*9600，2000*4800*2.合式粘衬机1台，型号NH500</v>
      </c>
      <c r="X48">
        <f>'附件4 规划外'!E163</f>
        <v>5.3</v>
      </c>
      <c r="Y48">
        <f>'附件4 规划外'!F163</f>
        <v>5.3</v>
      </c>
      <c r="Z48">
        <f>'附件4 规划外'!G163</f>
        <v>0</v>
      </c>
      <c r="AA48">
        <f>'附件4 规划外'!H163</f>
        <v>0</v>
      </c>
      <c r="AB48" t="str">
        <f>'附件4 规划外'!I163</f>
        <v>完工</v>
      </c>
      <c r="AC48">
        <f>'附件4 规划外'!J163</f>
        <v>5.3</v>
      </c>
      <c r="AD48" t="str">
        <f>'附件4 规划外'!K163</f>
        <v/>
      </c>
      <c r="AE48" t="str">
        <f>'附件4 规划外'!L163</f>
        <v>竣工</v>
      </c>
      <c r="AF48" s="26">
        <f>'附件4 规划外'!M163</f>
        <v>44378</v>
      </c>
      <c r="AG48" s="26">
        <f>'附件4 规划外'!N163</f>
        <v>44440</v>
      </c>
      <c r="AH48" t="str">
        <f>'附件4 规划外'!O163</f>
        <v>市工业和信息化局</v>
      </c>
      <c r="AI48" t="str">
        <f>'附件4 规划外'!P163</f>
        <v>尉氏县</v>
      </c>
      <c r="AJ48">
        <f>'附件4 规划外'!Q163</f>
        <v>0</v>
      </c>
      <c r="AK48">
        <f>'附件4 规划外'!R163</f>
        <v>0</v>
      </c>
    </row>
    <row r="49" spans="20:37">
      <c r="T49">
        <f>'附件4 规划外'!A164</f>
        <v>177</v>
      </c>
      <c r="U49" t="str">
        <f>'附件4 规划外'!B164</f>
        <v>尉氏县和程包装材料有限公司</v>
      </c>
      <c r="V49" t="str">
        <f>'附件4 规划外'!C164</f>
        <v>产业</v>
      </c>
      <c r="W49" t="str">
        <f>'附件4 规划外'!D164</f>
        <v>免版模切机一台，收纸机一台，半自动压盒机一台，全自动粘箱机一台，空压机两台，全自动打包机一台</v>
      </c>
      <c r="X49">
        <f>'附件4 规划外'!E164</f>
        <v>120</v>
      </c>
      <c r="Y49">
        <f>'附件4 规划外'!F164</f>
        <v>120</v>
      </c>
      <c r="Z49">
        <f>'附件4 规划外'!G164</f>
        <v>0</v>
      </c>
      <c r="AA49">
        <f>'附件4 规划外'!H164</f>
        <v>0</v>
      </c>
      <c r="AB49" t="str">
        <f>'附件4 规划外'!I164</f>
        <v>完工</v>
      </c>
      <c r="AC49">
        <f>'附件4 规划外'!J164</f>
        <v>120</v>
      </c>
      <c r="AD49" t="str">
        <f>'附件4 规划外'!K164</f>
        <v/>
      </c>
      <c r="AE49" t="str">
        <f>'附件4 规划外'!L164</f>
        <v>竣工</v>
      </c>
      <c r="AF49" s="26">
        <f>'附件4 规划外'!M164</f>
        <v>44378</v>
      </c>
      <c r="AG49" s="26">
        <f>'附件4 规划外'!N164</f>
        <v>44440</v>
      </c>
      <c r="AH49" t="str">
        <f>'附件4 规划外'!O164</f>
        <v>市工业和信息化局</v>
      </c>
      <c r="AI49" t="str">
        <f>'附件4 规划外'!P164</f>
        <v>尉氏县</v>
      </c>
      <c r="AJ49">
        <f>'附件4 规划外'!Q164</f>
        <v>0</v>
      </c>
      <c r="AK49">
        <f>'附件4 规划外'!R164</f>
        <v>0</v>
      </c>
    </row>
    <row r="50" spans="20:37">
      <c r="T50">
        <f>'附件4 规划外'!A165</f>
        <v>178</v>
      </c>
      <c r="U50" t="str">
        <f>'附件4 规划外'!B165</f>
        <v>河南省畅通橡胶制品有限公司</v>
      </c>
      <c r="V50" t="str">
        <f>'附件4 规划外'!C165</f>
        <v>产业</v>
      </c>
      <c r="W50" t="str">
        <f>'附件4 规划外'!D165</f>
        <v>变频器8台，空压机3台，冷干机2台，55千瓦电机6台，5.5瓦电机11台，3千瓦电机7台，5.5千瓦水泵，内胎磨具65套，磨光机8台，内胎硫化机29台，打包机3台，电焊机1台 切割机1台工业电风扇22台</v>
      </c>
      <c r="X50">
        <f>'附件4 规划外'!E165</f>
        <v>91.5</v>
      </c>
      <c r="Y50">
        <f>'附件4 规划外'!F165</f>
        <v>91.5</v>
      </c>
      <c r="Z50">
        <f>'附件4 规划外'!G165</f>
        <v>0</v>
      </c>
      <c r="AA50">
        <f>'附件4 规划外'!H165</f>
        <v>0</v>
      </c>
      <c r="AB50" t="str">
        <f>'附件4 规划外'!I165</f>
        <v>完工</v>
      </c>
      <c r="AC50">
        <f>'附件4 规划外'!J165</f>
        <v>91.5</v>
      </c>
      <c r="AD50" t="str">
        <f>'附件4 规划外'!K165</f>
        <v/>
      </c>
      <c r="AE50" t="str">
        <f>'附件4 规划外'!L165</f>
        <v>竣工</v>
      </c>
      <c r="AF50" s="26">
        <f>'附件4 规划外'!M165</f>
        <v>44378</v>
      </c>
      <c r="AG50" s="26">
        <f>'附件4 规划外'!N165</f>
        <v>44440</v>
      </c>
      <c r="AH50" t="str">
        <f>'附件4 规划外'!O165</f>
        <v>市工业和信息化局</v>
      </c>
      <c r="AI50" t="str">
        <f>'附件4 规划外'!P165</f>
        <v>尉氏县</v>
      </c>
      <c r="AJ50">
        <f>'附件4 规划外'!Q165</f>
        <v>0</v>
      </c>
      <c r="AK50">
        <f>'附件4 规划外'!R165</f>
        <v>0</v>
      </c>
    </row>
    <row r="51" spans="20:37">
      <c r="T51">
        <f>'附件4 规划外'!A166</f>
        <v>179</v>
      </c>
      <c r="U51" t="str">
        <f>'附件4 规划外'!B166</f>
        <v>河南优德医疗设备有限公司</v>
      </c>
      <c r="V51" t="str">
        <f>'附件4 规划外'!C166</f>
        <v>产业</v>
      </c>
      <c r="W51" t="str">
        <f>'附件4 规划外'!D166</f>
        <v>氩弧焊/二保焊机8台</v>
      </c>
      <c r="X51">
        <f>'附件4 规划外'!E166</f>
        <v>10</v>
      </c>
      <c r="Y51">
        <f>'附件4 规划外'!F166</f>
        <v>10</v>
      </c>
      <c r="Z51">
        <f>'附件4 规划外'!G166</f>
        <v>0</v>
      </c>
      <c r="AA51">
        <f>'附件4 规划外'!H166</f>
        <v>0</v>
      </c>
      <c r="AB51" t="str">
        <f>'附件4 规划外'!I166</f>
        <v>完工</v>
      </c>
      <c r="AC51">
        <f>'附件4 规划外'!J166</f>
        <v>10</v>
      </c>
      <c r="AD51" t="str">
        <f>'附件4 规划外'!K166</f>
        <v/>
      </c>
      <c r="AE51" t="str">
        <f>'附件4 规划外'!L166</f>
        <v>竣工</v>
      </c>
      <c r="AF51" s="26">
        <f>'附件4 规划外'!M166</f>
        <v>44378</v>
      </c>
      <c r="AG51" s="26">
        <f>'附件4 规划外'!N166</f>
        <v>44440</v>
      </c>
      <c r="AH51" t="str">
        <f>'附件4 规划外'!O166</f>
        <v>市工业和信息化局</v>
      </c>
      <c r="AI51" t="str">
        <f>'附件4 规划外'!P166</f>
        <v>尉氏县</v>
      </c>
      <c r="AJ51">
        <f>'附件4 规划外'!Q166</f>
        <v>0</v>
      </c>
      <c r="AK51">
        <f>'附件4 规划外'!R166</f>
        <v>0</v>
      </c>
    </row>
    <row r="52" spans="20:37">
      <c r="T52">
        <f>'附件4 规划外'!A167</f>
        <v>180</v>
      </c>
      <c r="U52" t="str">
        <f>'附件4 规划外'!B167</f>
        <v>河南省福久久门业有限公司</v>
      </c>
      <c r="V52" t="str">
        <f>'附件4 规划外'!C167</f>
        <v>产业</v>
      </c>
      <c r="W52" t="str">
        <f>'附件4 规划外'!D167</f>
        <v>光纤激光切割设备1台，门框滚花机1台，液压冲床2台，螺杆空压机1台，空气干燥机1台，液压翻边机一台，二保焊机6台，</v>
      </c>
      <c r="X52">
        <f>'附件4 规划外'!E167</f>
        <v>0</v>
      </c>
      <c r="Y52">
        <f>'附件4 规划外'!F167</f>
        <v>0</v>
      </c>
      <c r="Z52">
        <f>'附件4 规划外'!G167</f>
        <v>0</v>
      </c>
      <c r="AA52">
        <f>'附件4 规划外'!H167</f>
        <v>0</v>
      </c>
      <c r="AB52" t="str">
        <f>'附件4 规划外'!I167</f>
        <v>完工</v>
      </c>
      <c r="AC52">
        <f>'附件4 规划外'!J167</f>
        <v>0</v>
      </c>
      <c r="AD52" t="str">
        <f>'附件4 规划外'!K167</f>
        <v/>
      </c>
      <c r="AE52" t="str">
        <f>'附件4 规划外'!L167</f>
        <v>竣工</v>
      </c>
      <c r="AF52" s="26">
        <f>'附件4 规划外'!M167</f>
        <v>44378</v>
      </c>
      <c r="AG52" s="26">
        <f>'附件4 规划外'!N167</f>
        <v>44440</v>
      </c>
      <c r="AH52" t="str">
        <f>'附件4 规划外'!O167</f>
        <v>市工业和信息化局</v>
      </c>
      <c r="AI52" t="str">
        <f>'附件4 规划外'!P167</f>
        <v>尉氏县</v>
      </c>
      <c r="AJ52">
        <f>'附件4 规划外'!Q167</f>
        <v>0</v>
      </c>
      <c r="AK52">
        <f>'附件4 规划外'!R167</f>
        <v>0</v>
      </c>
    </row>
    <row r="53" spans="20:37">
      <c r="T53">
        <f>'附件4 规划外'!A168</f>
        <v>181</v>
      </c>
      <c r="U53" t="str">
        <f>'附件4 规划外'!B168</f>
        <v>开封市汇洁纺织有限公司</v>
      </c>
      <c r="V53" t="str">
        <f>'附件4 规划外'!C168</f>
        <v>产业</v>
      </c>
      <c r="W53" t="str">
        <f>'附件4 规划外'!D168</f>
        <v>压缩机1台，空压机2台，储气罐6个，冷冻式干燥机1台，小型定型机4台，离心风机5台，蒸汽定型机1台，定型架子8套，定型板5000个，袜子直缝机4台，织袜机120台，变压器1台</v>
      </c>
      <c r="X53">
        <f>'附件4 规划外'!E168</f>
        <v>5.555</v>
      </c>
      <c r="Y53">
        <f>'附件4 规划外'!F168</f>
        <v>5.555</v>
      </c>
      <c r="Z53">
        <f>'附件4 规划外'!G168</f>
        <v>0</v>
      </c>
      <c r="AA53">
        <f>'附件4 规划外'!H168</f>
        <v>0</v>
      </c>
      <c r="AB53" t="str">
        <f>'附件4 规划外'!I168</f>
        <v>完工</v>
      </c>
      <c r="AC53">
        <f>'附件4 规划外'!J168</f>
        <v>5.555</v>
      </c>
      <c r="AD53" t="str">
        <f>'附件4 规划外'!K168</f>
        <v/>
      </c>
      <c r="AE53" t="str">
        <f>'附件4 规划外'!L168</f>
        <v>竣工</v>
      </c>
      <c r="AF53" s="26">
        <f>'附件4 规划外'!M168</f>
        <v>44378</v>
      </c>
      <c r="AG53" s="26">
        <f>'附件4 规划外'!N168</f>
        <v>44440</v>
      </c>
      <c r="AH53" t="str">
        <f>'附件4 规划外'!O168</f>
        <v>市工业和信息化局</v>
      </c>
      <c r="AI53" t="str">
        <f>'附件4 规划外'!P168</f>
        <v>尉氏县</v>
      </c>
      <c r="AJ53">
        <f>'附件4 规划外'!Q168</f>
        <v>0</v>
      </c>
      <c r="AK53">
        <f>'附件4 规划外'!R168</f>
        <v>0</v>
      </c>
    </row>
    <row r="54" spans="20:37">
      <c r="T54">
        <f>'附件4 规划外'!A169</f>
        <v>182</v>
      </c>
      <c r="U54" t="str">
        <f>'附件4 规划外'!B169</f>
        <v>河南飞皇绝热材料有限公司</v>
      </c>
      <c r="V54" t="str">
        <f>'附件4 规划外'!C169</f>
        <v>产业</v>
      </c>
      <c r="W54" t="str">
        <f>'附件4 规划外'!D169</f>
        <v>涂料自动灌装自动生产线一条（三华科技有限公司制造）；干粉砂浆自动包装机和高位码垛一体线一条（苏州国衡机电有限公司，型号PVPE-100)；干粉砂浆自动包装机和高位码垛一体线一条（苏州国衡机电有限公司，型号PVPE-S)</v>
      </c>
      <c r="X54">
        <f>'附件4 规划外'!E169</f>
        <v>13</v>
      </c>
      <c r="Y54">
        <f>'附件4 规划外'!F169</f>
        <v>13</v>
      </c>
      <c r="Z54">
        <f>'附件4 规划外'!G169</f>
        <v>0</v>
      </c>
      <c r="AA54">
        <f>'附件4 规划外'!H169</f>
        <v>0</v>
      </c>
      <c r="AB54" t="str">
        <f>'附件4 规划外'!I169</f>
        <v>完工</v>
      </c>
      <c r="AC54">
        <f>'附件4 规划外'!J169</f>
        <v>13</v>
      </c>
      <c r="AD54" t="str">
        <f>'附件4 规划外'!K169</f>
        <v/>
      </c>
      <c r="AE54" t="str">
        <f>'附件4 规划外'!L169</f>
        <v>竣工</v>
      </c>
      <c r="AF54" s="26">
        <f>'附件4 规划外'!M169</f>
        <v>44378</v>
      </c>
      <c r="AG54" s="26">
        <f>'附件4 规划外'!N169</f>
        <v>44440</v>
      </c>
      <c r="AH54" t="str">
        <f>'附件4 规划外'!O169</f>
        <v>市工业和信息化局</v>
      </c>
      <c r="AI54" t="str">
        <f>'附件4 规划外'!P169</f>
        <v>尉氏县</v>
      </c>
      <c r="AJ54">
        <f>'附件4 规划外'!Q169</f>
        <v>0</v>
      </c>
      <c r="AK54">
        <f>'附件4 规划外'!R169</f>
        <v>0</v>
      </c>
    </row>
    <row r="55" spans="20:37">
      <c r="T55">
        <f>'附件4 规划外'!A170</f>
        <v>183</v>
      </c>
      <c r="U55" t="str">
        <f>'附件4 规划外'!B170</f>
        <v>河南加赢新能源科技有限公司</v>
      </c>
      <c r="V55" t="str">
        <f>'附件4 规划外'!C170</f>
        <v>产业</v>
      </c>
      <c r="W55" t="str">
        <f>'附件4 规划外'!D170</f>
        <v>搅拌输送机1套，制粒机3套(压轮压盘损毁)，电焊机3台、备用配件（轴承3套、压轮3套、模具150个）</v>
      </c>
      <c r="X55">
        <f>'附件4 规划外'!E170</f>
        <v>96</v>
      </c>
      <c r="Y55">
        <f>'附件4 规划外'!F170</f>
        <v>96</v>
      </c>
      <c r="Z55">
        <f>'附件4 规划外'!G170</f>
        <v>0</v>
      </c>
      <c r="AA55">
        <f>'附件4 规划外'!H170</f>
        <v>0</v>
      </c>
      <c r="AB55" t="str">
        <f>'附件4 规划外'!I170</f>
        <v>完工</v>
      </c>
      <c r="AC55">
        <f>'附件4 规划外'!J170</f>
        <v>96</v>
      </c>
      <c r="AD55" t="str">
        <f>'附件4 规划外'!K170</f>
        <v/>
      </c>
      <c r="AE55" t="str">
        <f>'附件4 规划外'!L170</f>
        <v>竣工</v>
      </c>
      <c r="AF55" s="26">
        <f>'附件4 规划外'!M170</f>
        <v>44378</v>
      </c>
      <c r="AG55" s="26">
        <f>'附件4 规划外'!N170</f>
        <v>44440</v>
      </c>
      <c r="AH55" t="str">
        <f>'附件4 规划外'!O170</f>
        <v>市工业和信息化局</v>
      </c>
      <c r="AI55" t="str">
        <f>'附件4 规划外'!P170</f>
        <v>尉氏县</v>
      </c>
      <c r="AJ55">
        <f>'附件4 规划外'!Q170</f>
        <v>0</v>
      </c>
      <c r="AK55">
        <f>'附件4 规划外'!R170</f>
        <v>0</v>
      </c>
    </row>
    <row r="56" spans="20:37">
      <c r="T56">
        <f>'附件4 规划外'!A171</f>
        <v>184</v>
      </c>
      <c r="U56" t="str">
        <f>'附件4 规划外'!B171</f>
        <v>尉氏县超群食品有限公司</v>
      </c>
      <c r="V56" t="str">
        <f>'附件4 规划外'!C171</f>
        <v>产业</v>
      </c>
      <c r="W56" t="str">
        <f>'附件4 规划外'!D171</f>
        <v>4台Z型提升机</v>
      </c>
      <c r="X56">
        <f>'附件4 规划外'!E171</f>
        <v>0</v>
      </c>
      <c r="Y56">
        <f>'附件4 规划外'!F171</f>
        <v>0</v>
      </c>
      <c r="Z56">
        <f>'附件4 规划外'!G171</f>
        <v>0</v>
      </c>
      <c r="AA56">
        <f>'附件4 规划外'!H171</f>
        <v>0</v>
      </c>
      <c r="AB56" t="str">
        <f>'附件4 规划外'!I171</f>
        <v>完工</v>
      </c>
      <c r="AC56">
        <f>'附件4 规划外'!J171</f>
        <v>0</v>
      </c>
      <c r="AD56" t="str">
        <f>'附件4 规划外'!K171</f>
        <v/>
      </c>
      <c r="AE56" t="str">
        <f>'附件4 规划外'!L171</f>
        <v>竣工</v>
      </c>
      <c r="AF56" s="26">
        <f>'附件4 规划外'!M171</f>
        <v>44378</v>
      </c>
      <c r="AG56" s="26">
        <f>'附件4 规划外'!N171</f>
        <v>44440</v>
      </c>
      <c r="AH56" t="str">
        <f>'附件4 规划外'!O171</f>
        <v>市工业和信息化局</v>
      </c>
      <c r="AI56" t="str">
        <f>'附件4 规划外'!P171</f>
        <v>尉氏县</v>
      </c>
      <c r="AJ56">
        <f>'附件4 规划外'!Q171</f>
        <v>0</v>
      </c>
      <c r="AK56">
        <f>'附件4 规划外'!R171</f>
        <v>0</v>
      </c>
    </row>
    <row r="57" spans="20:37">
      <c r="T57">
        <f>'附件4 规划外'!A172</f>
        <v>185</v>
      </c>
      <c r="U57" t="str">
        <f>'附件4 规划外'!B172</f>
        <v>河南开心仁食品有限公司</v>
      </c>
      <c r="V57" t="str">
        <f>'附件4 规划外'!C172</f>
        <v>产业</v>
      </c>
      <c r="W57" t="str">
        <f>'附件4 规划外'!D172</f>
        <v>瓜子原料提升机电机2台Y-71m2-4炒瓜子提升机电机1台YE2-90L-2</v>
      </c>
      <c r="X57">
        <f>'附件4 规划外'!E172</f>
        <v>25</v>
      </c>
      <c r="Y57">
        <f>'附件4 规划外'!F172</f>
        <v>25</v>
      </c>
      <c r="Z57">
        <f>'附件4 规划外'!G172</f>
        <v>0</v>
      </c>
      <c r="AA57">
        <f>'附件4 规划外'!H172</f>
        <v>0</v>
      </c>
      <c r="AB57" t="str">
        <f>'附件4 规划外'!I172</f>
        <v>完工</v>
      </c>
      <c r="AC57">
        <f>'附件4 规划外'!J172</f>
        <v>25</v>
      </c>
      <c r="AD57" t="str">
        <f>'附件4 规划外'!K172</f>
        <v/>
      </c>
      <c r="AE57" t="str">
        <f>'附件4 规划外'!L172</f>
        <v>竣工</v>
      </c>
      <c r="AF57" s="26">
        <f>'附件4 规划外'!M172</f>
        <v>44378</v>
      </c>
      <c r="AG57" s="26">
        <f>'附件4 规划外'!N172</f>
        <v>44440</v>
      </c>
      <c r="AH57" t="str">
        <f>'附件4 规划外'!O172</f>
        <v>市工业和信息化局</v>
      </c>
      <c r="AI57" t="str">
        <f>'附件4 规划外'!P172</f>
        <v>尉氏县</v>
      </c>
      <c r="AJ57">
        <f>'附件4 规划外'!Q172</f>
        <v>0</v>
      </c>
      <c r="AK57">
        <f>'附件4 规划外'!R172</f>
        <v>0</v>
      </c>
    </row>
    <row r="58" spans="20:37">
      <c r="T58">
        <f>'附件4 规划外'!A173</f>
        <v>186</v>
      </c>
      <c r="U58" t="str">
        <f>'附件4 规划外'!B173</f>
        <v>河南省文文食品有限公司</v>
      </c>
      <c r="V58" t="str">
        <f>'附件4 规划外'!C173</f>
        <v>产业</v>
      </c>
      <c r="W58" t="str">
        <f>'附件4 规划外'!D173</f>
        <v>烘烤烤箱一台</v>
      </c>
      <c r="X58">
        <f>'附件4 规划外'!E173</f>
        <v>5.395</v>
      </c>
      <c r="Y58">
        <f>'附件4 规划外'!F173</f>
        <v>5.395</v>
      </c>
      <c r="Z58">
        <f>'附件4 规划外'!G173</f>
        <v>0</v>
      </c>
      <c r="AA58">
        <f>'附件4 规划外'!H173</f>
        <v>0</v>
      </c>
      <c r="AB58" t="str">
        <f>'附件4 规划外'!I173</f>
        <v>完工</v>
      </c>
      <c r="AC58">
        <f>'附件4 规划外'!J173</f>
        <v>5.395</v>
      </c>
      <c r="AD58" t="str">
        <f>'附件4 规划外'!K173</f>
        <v/>
      </c>
      <c r="AE58" t="str">
        <f>'附件4 规划外'!L173</f>
        <v>竣工</v>
      </c>
      <c r="AF58" s="26">
        <f>'附件4 规划外'!M173</f>
        <v>44378</v>
      </c>
      <c r="AG58" s="26">
        <f>'附件4 规划外'!N173</f>
        <v>44440</v>
      </c>
      <c r="AH58" t="str">
        <f>'附件4 规划外'!O173</f>
        <v>市工业和信息化局</v>
      </c>
      <c r="AI58" t="str">
        <f>'附件4 规划外'!P173</f>
        <v>尉氏县</v>
      </c>
      <c r="AJ58">
        <f>'附件4 规划外'!Q173</f>
        <v>0</v>
      </c>
      <c r="AK58">
        <f>'附件4 规划外'!R173</f>
        <v>0</v>
      </c>
    </row>
    <row r="59" spans="20:37">
      <c r="T59">
        <f>'附件4 规划外'!A174</f>
        <v>187</v>
      </c>
      <c r="U59" t="str">
        <f>'附件4 规划外'!B174</f>
        <v>开封市杏媛食品有限公司</v>
      </c>
      <c r="V59" t="str">
        <f>'附件4 规划外'!C174</f>
        <v>产业</v>
      </c>
      <c r="W59" t="str">
        <f>'附件4 规划外'!D174</f>
        <v>空压机.净化机.成型机</v>
      </c>
      <c r="X59">
        <f>'附件4 规划外'!E174</f>
        <v>1.7</v>
      </c>
      <c r="Y59">
        <f>'附件4 规划外'!F174</f>
        <v>1.7</v>
      </c>
      <c r="Z59">
        <f>'附件4 规划外'!G174</f>
        <v>0</v>
      </c>
      <c r="AA59">
        <f>'附件4 规划外'!H174</f>
        <v>0</v>
      </c>
      <c r="AB59" t="str">
        <f>'附件4 规划外'!I174</f>
        <v>完工</v>
      </c>
      <c r="AC59">
        <f>'附件4 规划外'!J174</f>
        <v>1.7</v>
      </c>
      <c r="AD59" t="str">
        <f>'附件4 规划外'!K174</f>
        <v/>
      </c>
      <c r="AE59" t="str">
        <f>'附件4 规划外'!L174</f>
        <v>竣工</v>
      </c>
      <c r="AF59" s="26">
        <f>'附件4 规划外'!M174</f>
        <v>44378</v>
      </c>
      <c r="AG59" s="26">
        <f>'附件4 规划外'!N174</f>
        <v>44440</v>
      </c>
      <c r="AH59" t="str">
        <f>'附件4 规划外'!O174</f>
        <v>市工业和信息化局</v>
      </c>
      <c r="AI59" t="str">
        <f>'附件4 规划外'!P174</f>
        <v>尉氏县</v>
      </c>
      <c r="AJ59">
        <f>'附件4 规划外'!Q174</f>
        <v>0</v>
      </c>
      <c r="AK59">
        <f>'附件4 规划外'!R174</f>
        <v>0</v>
      </c>
    </row>
    <row r="60" spans="20:37">
      <c r="T60">
        <f>'附件4 规划外'!A175</f>
        <v>188</v>
      </c>
      <c r="U60" t="str">
        <f>'附件4 规划外'!B175</f>
        <v>河南省康记食品有限公司</v>
      </c>
      <c r="V60" t="str">
        <f>'附件4 规划外'!C175</f>
        <v>产业</v>
      </c>
      <c r="W60" t="str">
        <f>'附件4 规划外'!D175</f>
        <v>巧克力涂层机1台、冷却设备1台、滚筒电机变频器1套</v>
      </c>
      <c r="X60">
        <f>'附件4 规划外'!E175</f>
        <v>7</v>
      </c>
      <c r="Y60">
        <f>'附件4 规划外'!F175</f>
        <v>7</v>
      </c>
      <c r="Z60">
        <f>'附件4 规划外'!G175</f>
        <v>0</v>
      </c>
      <c r="AA60">
        <f>'附件4 规划外'!H175</f>
        <v>0</v>
      </c>
      <c r="AB60" t="str">
        <f>'附件4 规划外'!I175</f>
        <v>完工</v>
      </c>
      <c r="AC60">
        <f>'附件4 规划外'!J175</f>
        <v>7</v>
      </c>
      <c r="AD60" t="str">
        <f>'附件4 规划外'!K175</f>
        <v/>
      </c>
      <c r="AE60" t="str">
        <f>'附件4 规划外'!L175</f>
        <v>竣工</v>
      </c>
      <c r="AF60" s="26">
        <f>'附件4 规划外'!M175</f>
        <v>44378</v>
      </c>
      <c r="AG60" s="26">
        <f>'附件4 规划外'!N175</f>
        <v>44440</v>
      </c>
      <c r="AH60" t="str">
        <f>'附件4 规划外'!O175</f>
        <v>市工业和信息化局</v>
      </c>
      <c r="AI60" t="str">
        <f>'附件4 规划外'!P175</f>
        <v>尉氏县</v>
      </c>
      <c r="AJ60">
        <f>'附件4 规划外'!Q175</f>
        <v>0</v>
      </c>
      <c r="AK60">
        <f>'附件4 规划外'!R175</f>
        <v>0</v>
      </c>
    </row>
    <row r="61" spans="20:37">
      <c r="T61">
        <f>'附件4 规划外'!A176</f>
        <v>189</v>
      </c>
      <c r="U61" t="str">
        <f>'附件4 规划外'!B176</f>
        <v>河南笑辣辣食品有限公司</v>
      </c>
      <c r="V61" t="str">
        <f>'附件4 规划外'!C176</f>
        <v>产业</v>
      </c>
      <c r="W61" t="str">
        <f>'附件4 规划外'!D176</f>
        <v>55kw空压机变频器1台</v>
      </c>
      <c r="X61">
        <f>'附件4 规划外'!E176</f>
        <v>7.89</v>
      </c>
      <c r="Y61">
        <f>'附件4 规划外'!F176</f>
        <v>7.89</v>
      </c>
      <c r="Z61">
        <f>'附件4 规划外'!G176</f>
        <v>0</v>
      </c>
      <c r="AA61">
        <f>'附件4 规划外'!H176</f>
        <v>0</v>
      </c>
      <c r="AB61" t="str">
        <f>'附件4 规划外'!I176</f>
        <v>完工</v>
      </c>
      <c r="AC61">
        <f>'附件4 规划外'!J176</f>
        <v>7.89</v>
      </c>
      <c r="AD61" t="str">
        <f>'附件4 规划外'!K176</f>
        <v/>
      </c>
      <c r="AE61" t="str">
        <f>'附件4 规划外'!L176</f>
        <v>竣工</v>
      </c>
      <c r="AF61" s="26">
        <f>'附件4 规划外'!M176</f>
        <v>44378</v>
      </c>
      <c r="AG61" s="26">
        <f>'附件4 规划外'!N176</f>
        <v>44440</v>
      </c>
      <c r="AH61" t="str">
        <f>'附件4 规划外'!O176</f>
        <v>市工业和信息化局</v>
      </c>
      <c r="AI61" t="str">
        <f>'附件4 规划外'!P176</f>
        <v>尉氏县</v>
      </c>
      <c r="AJ61">
        <f>'附件4 规划外'!Q176</f>
        <v>0</v>
      </c>
      <c r="AK61">
        <f>'附件4 规划外'!R176</f>
        <v>0</v>
      </c>
    </row>
    <row r="62" spans="20:37">
      <c r="T62">
        <f>'附件4 规划外'!A177</f>
        <v>190</v>
      </c>
      <c r="U62" t="str">
        <f>'附件4 规划外'!B177</f>
        <v>尉氏县天翼食品有限公司</v>
      </c>
      <c r="V62" t="str">
        <f>'附件4 规划外'!C177</f>
        <v>产业</v>
      </c>
      <c r="W62" t="str">
        <f>'附件4 规划外'!D177</f>
        <v>TNS-60KVA 稳压器一台;TYCP 160M1-8 B35电机一台；PSM160-37-3000 电机一台；5台150型封口机。</v>
      </c>
      <c r="X62">
        <f>'附件4 规划外'!E177</f>
        <v>4</v>
      </c>
      <c r="Y62">
        <f>'附件4 规划外'!F177</f>
        <v>4</v>
      </c>
      <c r="Z62">
        <f>'附件4 规划外'!G177</f>
        <v>0</v>
      </c>
      <c r="AA62">
        <f>'附件4 规划外'!H177</f>
        <v>0</v>
      </c>
      <c r="AB62" t="str">
        <f>'附件4 规划外'!I177</f>
        <v>完工</v>
      </c>
      <c r="AC62">
        <f>'附件4 规划外'!J177</f>
        <v>4</v>
      </c>
      <c r="AD62" t="str">
        <f>'附件4 规划外'!K177</f>
        <v/>
      </c>
      <c r="AE62" t="str">
        <f>'附件4 规划外'!L177</f>
        <v>竣工</v>
      </c>
      <c r="AF62" s="26">
        <f>'附件4 规划外'!M177</f>
        <v>44378</v>
      </c>
      <c r="AG62" s="26">
        <f>'附件4 规划外'!N177</f>
        <v>44440</v>
      </c>
      <c r="AH62" t="str">
        <f>'附件4 规划外'!O177</f>
        <v>市工业和信息化局</v>
      </c>
      <c r="AI62" t="str">
        <f>'附件4 规划外'!P177</f>
        <v>尉氏县</v>
      </c>
      <c r="AJ62">
        <f>'附件4 规划外'!Q177</f>
        <v>0</v>
      </c>
      <c r="AK62">
        <f>'附件4 规划外'!R177</f>
        <v>0</v>
      </c>
    </row>
    <row r="63" spans="20:37">
      <c r="T63">
        <f>'附件4 规划外'!A178</f>
        <v>191</v>
      </c>
      <c r="U63" t="str">
        <f>'附件4 规划外'!B178</f>
        <v>河南省军胜强食品有限公司</v>
      </c>
      <c r="V63" t="str">
        <f>'附件4 规划外'!C178</f>
        <v>产业</v>
      </c>
      <c r="W63" t="str">
        <f>'附件4 规划外'!D178</f>
        <v>4台燃烧机、1台分选机、1台空压机、1台提升机、4台煮锅</v>
      </c>
      <c r="X63">
        <f>'附件4 规划外'!E178</f>
        <v>0</v>
      </c>
      <c r="Y63">
        <f>'附件4 规划外'!F178</f>
        <v>0</v>
      </c>
      <c r="Z63">
        <f>'附件4 规划外'!G178</f>
        <v>0</v>
      </c>
      <c r="AA63">
        <f>'附件4 规划外'!H178</f>
        <v>0</v>
      </c>
      <c r="AB63" t="str">
        <f>'附件4 规划外'!I178</f>
        <v>完工</v>
      </c>
      <c r="AC63">
        <f>'附件4 规划外'!J178</f>
        <v>0</v>
      </c>
      <c r="AD63" t="str">
        <f>'附件4 规划外'!K178</f>
        <v/>
      </c>
      <c r="AE63" t="str">
        <f>'附件4 规划外'!L178</f>
        <v>竣工</v>
      </c>
      <c r="AF63" s="26">
        <f>'附件4 规划外'!M178</f>
        <v>44378</v>
      </c>
      <c r="AG63" s="26">
        <f>'附件4 规划外'!N178</f>
        <v>44440</v>
      </c>
      <c r="AH63" t="str">
        <f>'附件4 规划外'!O178</f>
        <v>市工业和信息化局</v>
      </c>
      <c r="AI63" t="str">
        <f>'附件4 规划外'!P178</f>
        <v>尉氏县</v>
      </c>
      <c r="AJ63">
        <f>'附件4 规划外'!Q178</f>
        <v>0</v>
      </c>
      <c r="AK63">
        <f>'附件4 规划外'!R178</f>
        <v>0</v>
      </c>
    </row>
    <row r="64" spans="20:37">
      <c r="T64">
        <f>'附件4 规划外'!A179</f>
        <v>192</v>
      </c>
      <c r="U64" t="str">
        <f>'附件4 规划外'!B179</f>
        <v>河南省豪一食品有限公司</v>
      </c>
      <c r="V64" t="str">
        <f>'附件4 规划外'!C179</f>
        <v>产业</v>
      </c>
      <c r="W64" t="str">
        <f>'附件4 规划外'!D179</f>
        <v>XY-25,搅拌机1台；400KV，配电柜1套；HD-800,过滤机1台；HS-850油炸机1台；JLMK胶体磨1台；JY-JD,净化器1台；5.5KW,风机1台；RF28WW/S-810L,空调3台；</v>
      </c>
      <c r="X64">
        <f>'附件4 规划外'!E179</f>
        <v>6</v>
      </c>
      <c r="Y64">
        <f>'附件4 规划外'!F179</f>
        <v>6</v>
      </c>
      <c r="Z64">
        <f>'附件4 规划外'!G179</f>
        <v>0</v>
      </c>
      <c r="AA64">
        <f>'附件4 规划外'!H179</f>
        <v>0</v>
      </c>
      <c r="AB64" t="str">
        <f>'附件4 规划外'!I179</f>
        <v>完工</v>
      </c>
      <c r="AC64">
        <f>'附件4 规划外'!J179</f>
        <v>6</v>
      </c>
      <c r="AD64" t="str">
        <f>'附件4 规划外'!K179</f>
        <v/>
      </c>
      <c r="AE64" t="str">
        <f>'附件4 规划外'!L179</f>
        <v>竣工</v>
      </c>
      <c r="AF64" s="26">
        <f>'附件4 规划外'!M179</f>
        <v>44378</v>
      </c>
      <c r="AG64" s="26">
        <f>'附件4 规划外'!N179</f>
        <v>44440</v>
      </c>
      <c r="AH64" t="str">
        <f>'附件4 规划外'!O179</f>
        <v>市工业和信息化局</v>
      </c>
      <c r="AI64" t="str">
        <f>'附件4 规划外'!P179</f>
        <v>尉氏县</v>
      </c>
      <c r="AJ64">
        <f>'附件4 规划外'!Q179</f>
        <v>0</v>
      </c>
      <c r="AK64">
        <f>'附件4 规划外'!R179</f>
        <v>0</v>
      </c>
    </row>
    <row r="65" spans="20:37">
      <c r="T65">
        <f>'附件4 规划外'!A180</f>
        <v>193</v>
      </c>
      <c r="U65" t="str">
        <f>'附件4 规划外'!B180</f>
        <v>河南省带财食品有限公司</v>
      </c>
      <c r="V65" t="str">
        <f>'附件4 规划外'!C180</f>
        <v>产业</v>
      </c>
      <c r="W65" t="str">
        <f>'附件4 规划外'!D180</f>
        <v>6台燃烧机</v>
      </c>
      <c r="X65">
        <f>'附件4 规划外'!E180</f>
        <v>66</v>
      </c>
      <c r="Y65">
        <f>'附件4 规划外'!F180</f>
        <v>66</v>
      </c>
      <c r="Z65">
        <f>'附件4 规划外'!G180</f>
        <v>0</v>
      </c>
      <c r="AA65">
        <f>'附件4 规划外'!H180</f>
        <v>0</v>
      </c>
      <c r="AB65" t="str">
        <f>'附件4 规划外'!I180</f>
        <v>完工</v>
      </c>
      <c r="AC65">
        <f>'附件4 规划外'!J180</f>
        <v>66</v>
      </c>
      <c r="AD65" t="str">
        <f>'附件4 规划外'!K180</f>
        <v/>
      </c>
      <c r="AE65" t="str">
        <f>'附件4 规划外'!L180</f>
        <v>竣工</v>
      </c>
      <c r="AF65" s="26">
        <f>'附件4 规划外'!M180</f>
        <v>44378</v>
      </c>
      <c r="AG65" s="26">
        <f>'附件4 规划外'!N180</f>
        <v>44440</v>
      </c>
      <c r="AH65" t="str">
        <f>'附件4 规划外'!O180</f>
        <v>市工业和信息化局</v>
      </c>
      <c r="AI65" t="str">
        <f>'附件4 规划外'!P180</f>
        <v>尉氏县</v>
      </c>
      <c r="AJ65">
        <f>'附件4 规划外'!Q180</f>
        <v>0</v>
      </c>
      <c r="AK65">
        <f>'附件4 规划外'!R180</f>
        <v>0</v>
      </c>
    </row>
    <row r="66" spans="20:37">
      <c r="T66">
        <f>'附件4 规划外'!A181</f>
        <v>194</v>
      </c>
      <c r="U66" t="str">
        <f>'附件4 规划外'!B181</f>
        <v>河南省万强食品有限公司</v>
      </c>
      <c r="V66" t="str">
        <f>'附件4 规划外'!C181</f>
        <v>产业</v>
      </c>
      <c r="W66" t="str">
        <f>'附件4 规划外'!D181</f>
        <v>1台包装机</v>
      </c>
      <c r="X66">
        <f>'附件4 规划外'!E181</f>
        <v>35</v>
      </c>
      <c r="Y66">
        <f>'附件4 规划外'!F181</f>
        <v>35</v>
      </c>
      <c r="Z66">
        <f>'附件4 规划外'!G181</f>
        <v>0</v>
      </c>
      <c r="AA66">
        <f>'附件4 规划外'!H181</f>
        <v>0</v>
      </c>
      <c r="AB66" t="str">
        <f>'附件4 规划外'!I181</f>
        <v>完工</v>
      </c>
      <c r="AC66">
        <f>'附件4 规划外'!J181</f>
        <v>35</v>
      </c>
      <c r="AD66" t="str">
        <f>'附件4 规划外'!K181</f>
        <v/>
      </c>
      <c r="AE66" t="str">
        <f>'附件4 规划外'!L181</f>
        <v>竣工</v>
      </c>
      <c r="AF66" s="26">
        <f>'附件4 规划外'!M181</f>
        <v>44378</v>
      </c>
      <c r="AG66" s="26">
        <f>'附件4 规划外'!N181</f>
        <v>44440</v>
      </c>
      <c r="AH66" t="str">
        <f>'附件4 规划外'!O181</f>
        <v>市工业和信息化局</v>
      </c>
      <c r="AI66" t="str">
        <f>'附件4 规划外'!P181</f>
        <v>尉氏县</v>
      </c>
      <c r="AJ66">
        <f>'附件4 规划外'!Q181</f>
        <v>0</v>
      </c>
      <c r="AK66">
        <f>'附件4 规划外'!R181</f>
        <v>0</v>
      </c>
    </row>
    <row r="67" spans="20:37">
      <c r="T67">
        <f>'附件4 规划外'!A182</f>
        <v>195</v>
      </c>
      <c r="U67" t="str">
        <f>'附件4 规划外'!B182</f>
        <v>河南省华昌食品有限公司</v>
      </c>
      <c r="V67" t="str">
        <f>'附件4 规划外'!C182</f>
        <v>产业</v>
      </c>
      <c r="W67" t="str">
        <f>'附件4 规划外'!D182</f>
        <v>4台Z型提升机、3台燃烧机</v>
      </c>
      <c r="X67">
        <f>'附件4 规划外'!E182</f>
        <v>72</v>
      </c>
      <c r="Y67">
        <f>'附件4 规划外'!F182</f>
        <v>72</v>
      </c>
      <c r="Z67">
        <f>'附件4 规划外'!G182</f>
        <v>0</v>
      </c>
      <c r="AA67">
        <f>'附件4 规划外'!H182</f>
        <v>0</v>
      </c>
      <c r="AB67" t="str">
        <f>'附件4 规划外'!I182</f>
        <v>完工</v>
      </c>
      <c r="AC67">
        <f>'附件4 规划外'!J182</f>
        <v>72</v>
      </c>
      <c r="AD67" t="str">
        <f>'附件4 规划外'!K182</f>
        <v/>
      </c>
      <c r="AE67" t="str">
        <f>'附件4 规划外'!L182</f>
        <v>竣工</v>
      </c>
      <c r="AF67" s="26">
        <f>'附件4 规划外'!M182</f>
        <v>44378</v>
      </c>
      <c r="AG67" s="26">
        <f>'附件4 规划外'!N182</f>
        <v>44440</v>
      </c>
      <c r="AH67" t="str">
        <f>'附件4 规划外'!O182</f>
        <v>市工业和信息化局</v>
      </c>
      <c r="AI67" t="str">
        <f>'附件4 规划外'!P182</f>
        <v>尉氏县</v>
      </c>
      <c r="AJ67">
        <f>'附件4 规划外'!Q182</f>
        <v>0</v>
      </c>
      <c r="AK67">
        <f>'附件4 规划外'!R182</f>
        <v>0</v>
      </c>
    </row>
    <row r="68" spans="20:37">
      <c r="T68">
        <f>'附件4 规划外'!A183</f>
        <v>196</v>
      </c>
      <c r="U68" t="str">
        <f>'附件4 规划外'!B183</f>
        <v>河南省幸隆食品有限公司</v>
      </c>
      <c r="V68" t="str">
        <f>'附件4 规划外'!C183</f>
        <v>产业</v>
      </c>
      <c r="W68" t="str">
        <f>'附件4 规划外'!D183</f>
        <v>一台空压机变频器，三台电机</v>
      </c>
      <c r="X68">
        <f>'附件4 规划外'!E183</f>
        <v>33</v>
      </c>
      <c r="Y68">
        <f>'附件4 规划外'!F183</f>
        <v>33</v>
      </c>
      <c r="Z68">
        <f>'附件4 规划外'!G183</f>
        <v>0</v>
      </c>
      <c r="AA68">
        <f>'附件4 规划外'!H183</f>
        <v>0</v>
      </c>
      <c r="AB68" t="str">
        <f>'附件4 规划外'!I183</f>
        <v>完工</v>
      </c>
      <c r="AC68">
        <f>'附件4 规划外'!J183</f>
        <v>33</v>
      </c>
      <c r="AD68" t="str">
        <f>'附件4 规划外'!K183</f>
        <v/>
      </c>
      <c r="AE68" t="str">
        <f>'附件4 规划外'!L183</f>
        <v>竣工</v>
      </c>
      <c r="AF68" s="26">
        <f>'附件4 规划外'!M183</f>
        <v>44378</v>
      </c>
      <c r="AG68" s="26">
        <f>'附件4 规划外'!N183</f>
        <v>44440</v>
      </c>
      <c r="AH68" t="str">
        <f>'附件4 规划外'!O183</f>
        <v>市工业和信息化局</v>
      </c>
      <c r="AI68" t="str">
        <f>'附件4 规划外'!P183</f>
        <v>尉氏县</v>
      </c>
      <c r="AJ68">
        <f>'附件4 规划外'!Q183</f>
        <v>0</v>
      </c>
      <c r="AK68">
        <f>'附件4 规划外'!R183</f>
        <v>0</v>
      </c>
    </row>
    <row r="69" spans="20:37">
      <c r="T69">
        <f>'附件4 规划外'!A184</f>
        <v>197</v>
      </c>
      <c r="U69" t="str">
        <f>'附件4 规划外'!B184</f>
        <v>河南省神通食品有限公司</v>
      </c>
      <c r="V69" t="str">
        <f>'附件4 规划外'!C184</f>
        <v>产业</v>
      </c>
      <c r="W69" t="str">
        <f>'附件4 规划外'!D184</f>
        <v>4台煮锅、6台燃烧机、2台提升机、2台筛选机</v>
      </c>
      <c r="X69">
        <f>'附件4 规划外'!E184</f>
        <v>36</v>
      </c>
      <c r="Y69">
        <f>'附件4 规划外'!F184</f>
        <v>36</v>
      </c>
      <c r="Z69">
        <f>'附件4 规划外'!G184</f>
        <v>0</v>
      </c>
      <c r="AA69">
        <f>'附件4 规划外'!H184</f>
        <v>0</v>
      </c>
      <c r="AB69" t="str">
        <f>'附件4 规划外'!I184</f>
        <v>完工</v>
      </c>
      <c r="AC69">
        <f>'附件4 规划外'!J184</f>
        <v>36</v>
      </c>
      <c r="AD69" t="str">
        <f>'附件4 规划外'!K184</f>
        <v/>
      </c>
      <c r="AE69" t="str">
        <f>'附件4 规划外'!L184</f>
        <v>竣工</v>
      </c>
      <c r="AF69" s="26">
        <f>'附件4 规划外'!M184</f>
        <v>44378</v>
      </c>
      <c r="AG69" s="26">
        <f>'附件4 规划外'!N184</f>
        <v>44440</v>
      </c>
      <c r="AH69" t="str">
        <f>'附件4 规划外'!O184</f>
        <v>市工业和信息化局</v>
      </c>
      <c r="AI69" t="str">
        <f>'附件4 规划外'!P184</f>
        <v>尉氏县</v>
      </c>
      <c r="AJ69">
        <f>'附件4 规划外'!Q184</f>
        <v>0</v>
      </c>
      <c r="AK69">
        <f>'附件4 规划外'!R184</f>
        <v>0</v>
      </c>
    </row>
    <row r="70" spans="20:37">
      <c r="T70">
        <f>'附件4 规划外'!A185</f>
        <v>198</v>
      </c>
      <c r="U70" t="str">
        <f>'附件4 规划外'!B185</f>
        <v>河南省海丰食品有限公司</v>
      </c>
      <c r="V70" t="str">
        <f>'附件4 规划外'!C185</f>
        <v>产业</v>
      </c>
      <c r="W70" t="str">
        <f>'附件4 规划外'!D185</f>
        <v>3台自动包装机、2台分级筛选机、7台燃烧机</v>
      </c>
      <c r="X70">
        <f>'附件4 规划外'!E185</f>
        <v>44</v>
      </c>
      <c r="Y70">
        <f>'附件4 规划外'!F185</f>
        <v>44</v>
      </c>
      <c r="Z70">
        <f>'附件4 规划外'!G185</f>
        <v>0</v>
      </c>
      <c r="AA70">
        <f>'附件4 规划外'!H185</f>
        <v>0</v>
      </c>
      <c r="AB70" t="str">
        <f>'附件4 规划外'!I185</f>
        <v>完工</v>
      </c>
      <c r="AC70">
        <f>'附件4 规划外'!J185</f>
        <v>44</v>
      </c>
      <c r="AD70" t="str">
        <f>'附件4 规划外'!K185</f>
        <v/>
      </c>
      <c r="AE70" t="str">
        <f>'附件4 规划外'!L185</f>
        <v>竣工</v>
      </c>
      <c r="AF70" s="26">
        <f>'附件4 规划外'!M185</f>
        <v>44378</v>
      </c>
      <c r="AG70" s="26">
        <f>'附件4 规划外'!N185</f>
        <v>44440</v>
      </c>
      <c r="AH70" t="str">
        <f>'附件4 规划外'!O185</f>
        <v>市工业和信息化局</v>
      </c>
      <c r="AI70" t="str">
        <f>'附件4 规划外'!P185</f>
        <v>尉氏县</v>
      </c>
      <c r="AJ70">
        <f>'附件4 规划外'!Q185</f>
        <v>0</v>
      </c>
      <c r="AK70">
        <f>'附件4 规划外'!R185</f>
        <v>0</v>
      </c>
    </row>
    <row r="71" spans="20:37">
      <c r="T71">
        <f>'附件4 规划外'!A186</f>
        <v>199</v>
      </c>
      <c r="U71" t="str">
        <f>'附件4 规划外'!B186</f>
        <v>河南蔚源生物科技有限公司</v>
      </c>
      <c r="V71" t="str">
        <f>'附件4 规划外'!C186</f>
        <v>产业</v>
      </c>
      <c r="W71" t="str">
        <f>'附件4 规划外'!D186</f>
        <v>CO2气体保护焊机 大焊机  防爆摆线针轮减速机3台 电机一台 离心机 等离子切割机 手动切割机 LPG气化器   罗茨真空泵 防爆电机 双  杆空压机 制氮机 自吸泵 离心泵 化工自吸泵一台 离心泵一台  不锈钢自吸泵2台 化工自吸泵一台</v>
      </c>
      <c r="X71">
        <f>'附件4 规划外'!E186</f>
        <v>14.1</v>
      </c>
      <c r="Y71">
        <f>'附件4 规划外'!F186</f>
        <v>14.1</v>
      </c>
      <c r="Z71">
        <f>'附件4 规划外'!G186</f>
        <v>0</v>
      </c>
      <c r="AA71">
        <f>'附件4 规划外'!H186</f>
        <v>0</v>
      </c>
      <c r="AB71" t="str">
        <f>'附件4 规划外'!I186</f>
        <v>完工</v>
      </c>
      <c r="AC71">
        <f>'附件4 规划外'!J186</f>
        <v>14.1</v>
      </c>
      <c r="AD71" t="str">
        <f>'附件4 规划外'!K186</f>
        <v/>
      </c>
      <c r="AE71" t="str">
        <f>'附件4 规划外'!L186</f>
        <v>竣工</v>
      </c>
      <c r="AF71" s="26">
        <f>'附件4 规划外'!M186</f>
        <v>44378</v>
      </c>
      <c r="AG71" s="26">
        <f>'附件4 规划外'!N186</f>
        <v>44440</v>
      </c>
      <c r="AH71" t="str">
        <f>'附件4 规划外'!O186</f>
        <v>市工业和信息化局</v>
      </c>
      <c r="AI71" t="str">
        <f>'附件4 规划外'!P186</f>
        <v>尉氏县</v>
      </c>
      <c r="AJ71">
        <f>'附件4 规划外'!Q186</f>
        <v>0</v>
      </c>
      <c r="AK71">
        <f>'附件4 规划外'!R186</f>
        <v>0</v>
      </c>
    </row>
    <row r="72" spans="20:37">
      <c r="T72">
        <f>'附件4 规划外'!A187</f>
        <v>200</v>
      </c>
      <c r="U72" t="str">
        <f>'附件4 规划外'!B187</f>
        <v>河南省顺鑫食品有限公司</v>
      </c>
      <c r="V72" t="str">
        <f>'附件4 规划外'!C187</f>
        <v>产业</v>
      </c>
      <c r="W72" t="str">
        <f>'附件4 规划外'!D187</f>
        <v>1台100KV变压器3只变压保险丝，避雷器，1台变压器总配箱设施</v>
      </c>
      <c r="X72">
        <f>'附件4 规划外'!E187</f>
        <v>20.3</v>
      </c>
      <c r="Y72">
        <f>'附件4 规划外'!F187</f>
        <v>20.3</v>
      </c>
      <c r="Z72">
        <f>'附件4 规划外'!G187</f>
        <v>0</v>
      </c>
      <c r="AA72">
        <f>'附件4 规划外'!H187</f>
        <v>0</v>
      </c>
      <c r="AB72" t="str">
        <f>'附件4 规划外'!I187</f>
        <v>完工</v>
      </c>
      <c r="AC72">
        <f>'附件4 规划外'!J187</f>
        <v>20.3</v>
      </c>
      <c r="AD72" t="str">
        <f>'附件4 规划外'!K187</f>
        <v/>
      </c>
      <c r="AE72" t="str">
        <f>'附件4 规划外'!L187</f>
        <v>竣工</v>
      </c>
      <c r="AF72" s="26">
        <f>'附件4 规划外'!M187</f>
        <v>44378</v>
      </c>
      <c r="AG72" s="26">
        <f>'附件4 规划外'!N187</f>
        <v>44440</v>
      </c>
      <c r="AH72" t="str">
        <f>'附件4 规划外'!O187</f>
        <v>市工业和信息化局</v>
      </c>
      <c r="AI72" t="str">
        <f>'附件4 规划外'!P187</f>
        <v>尉氏县</v>
      </c>
      <c r="AJ72">
        <f>'附件4 规划外'!Q187</f>
        <v>0</v>
      </c>
      <c r="AK72">
        <f>'附件4 规划外'!R187</f>
        <v>0</v>
      </c>
    </row>
    <row r="73" spans="20:37">
      <c r="T73">
        <f>'附件4 规划外'!A188</f>
        <v>201</v>
      </c>
      <c r="U73" t="str">
        <f>'附件4 规划外'!B188</f>
        <v>河南省好姐弟食品有限公司</v>
      </c>
      <c r="V73" t="str">
        <f>'附件4 规划外'!C188</f>
        <v>产业</v>
      </c>
      <c r="W73" t="str">
        <f>'附件4 规划外'!D188</f>
        <v>给袋式包装机1台；油炸生产线1套；环保监控器1套</v>
      </c>
      <c r="X73">
        <f>'附件4 规划外'!E188</f>
        <v>23</v>
      </c>
      <c r="Y73">
        <f>'附件4 规划外'!F188</f>
        <v>23</v>
      </c>
      <c r="Z73">
        <f>'附件4 规划外'!G188</f>
        <v>0</v>
      </c>
      <c r="AA73">
        <f>'附件4 规划外'!H188</f>
        <v>0</v>
      </c>
      <c r="AB73" t="str">
        <f>'附件4 规划外'!I188</f>
        <v>完工</v>
      </c>
      <c r="AC73">
        <f>'附件4 规划外'!J188</f>
        <v>23</v>
      </c>
      <c r="AD73" t="str">
        <f>'附件4 规划外'!K188</f>
        <v/>
      </c>
      <c r="AE73" t="str">
        <f>'附件4 规划外'!L188</f>
        <v>竣工</v>
      </c>
      <c r="AF73" s="26">
        <f>'附件4 规划外'!M188</f>
        <v>44378</v>
      </c>
      <c r="AG73" s="26">
        <f>'附件4 规划外'!N188</f>
        <v>44440</v>
      </c>
      <c r="AH73" t="str">
        <f>'附件4 规划外'!O188</f>
        <v>市工业和信息化局</v>
      </c>
      <c r="AI73" t="str">
        <f>'附件4 规划外'!P188</f>
        <v>尉氏县</v>
      </c>
      <c r="AJ73">
        <f>'附件4 规划外'!Q188</f>
        <v>0</v>
      </c>
      <c r="AK73">
        <f>'附件4 规划外'!R188</f>
        <v>0</v>
      </c>
    </row>
    <row r="74" spans="20:37">
      <c r="T74">
        <f>'附件4 规划外'!A189</f>
        <v>202</v>
      </c>
      <c r="U74" t="str">
        <f>'附件4 规划外'!B189</f>
        <v>河南省丰利园食品有限公司</v>
      </c>
      <c r="V74" t="str">
        <f>'附件4 规划外'!C189</f>
        <v>产业</v>
      </c>
      <c r="W74" t="str">
        <f>'附件4 规划外'!D189</f>
        <v>烤箱一台；冷库外机两个成型机一台</v>
      </c>
      <c r="X74">
        <f>'附件4 规划外'!E189</f>
        <v>18</v>
      </c>
      <c r="Y74">
        <f>'附件4 规划外'!F189</f>
        <v>18</v>
      </c>
      <c r="Z74">
        <f>'附件4 规划外'!G189</f>
        <v>0</v>
      </c>
      <c r="AA74">
        <f>'附件4 规划外'!H189</f>
        <v>0</v>
      </c>
      <c r="AB74" t="str">
        <f>'附件4 规划外'!I189</f>
        <v>完工</v>
      </c>
      <c r="AC74">
        <f>'附件4 规划外'!J189</f>
        <v>18</v>
      </c>
      <c r="AD74" t="str">
        <f>'附件4 规划外'!K189</f>
        <v/>
      </c>
      <c r="AE74" t="str">
        <f>'附件4 规划外'!L189</f>
        <v>竣工</v>
      </c>
      <c r="AF74" s="26">
        <f>'附件4 规划外'!M189</f>
        <v>44378</v>
      </c>
      <c r="AG74" s="26">
        <f>'附件4 规划外'!N189</f>
        <v>44440</v>
      </c>
      <c r="AH74" t="str">
        <f>'附件4 规划外'!O189</f>
        <v>市工业和信息化局</v>
      </c>
      <c r="AI74" t="str">
        <f>'附件4 规划外'!P189</f>
        <v>尉氏县</v>
      </c>
      <c r="AJ74">
        <f>'附件4 规划外'!Q189</f>
        <v>0</v>
      </c>
      <c r="AK74">
        <f>'附件4 规划外'!R189</f>
        <v>0</v>
      </c>
    </row>
    <row r="75" spans="20:37">
      <c r="T75">
        <f>'附件4 规划外'!A190</f>
        <v>203</v>
      </c>
      <c r="U75" t="str">
        <f>'附件4 规划外'!B190</f>
        <v>河南甲润木业有限公司</v>
      </c>
      <c r="V75" t="str">
        <f>'附件4 规划外'!C190</f>
        <v>产业</v>
      </c>
      <c r="W75" t="str">
        <f>'附件4 规划外'!D190</f>
        <v>粉尘房 除尘设备（mc-Ⅱ）更换维修</v>
      </c>
      <c r="X75">
        <f>'附件4 规划外'!E190</f>
        <v>12</v>
      </c>
      <c r="Y75">
        <f>'附件4 规划外'!F190</f>
        <v>12</v>
      </c>
      <c r="Z75">
        <f>'附件4 规划外'!G190</f>
        <v>0</v>
      </c>
      <c r="AA75">
        <f>'附件4 规划外'!H190</f>
        <v>0</v>
      </c>
      <c r="AB75" t="str">
        <f>'附件4 规划外'!I190</f>
        <v>完工</v>
      </c>
      <c r="AC75">
        <f>'附件4 规划外'!J190</f>
        <v>12</v>
      </c>
      <c r="AD75" t="str">
        <f>'附件4 规划外'!K190</f>
        <v/>
      </c>
      <c r="AE75" t="str">
        <f>'附件4 规划外'!L190</f>
        <v>竣工</v>
      </c>
      <c r="AF75" s="26">
        <f>'附件4 规划外'!M190</f>
        <v>44378</v>
      </c>
      <c r="AG75" s="26">
        <f>'附件4 规划外'!N190</f>
        <v>44440</v>
      </c>
      <c r="AH75" t="str">
        <f>'附件4 规划外'!O190</f>
        <v>市工业和信息化局</v>
      </c>
      <c r="AI75" t="str">
        <f>'附件4 规划外'!P190</f>
        <v>尉氏县</v>
      </c>
      <c r="AJ75">
        <f>'附件4 规划外'!Q190</f>
        <v>0</v>
      </c>
      <c r="AK75">
        <f>'附件4 规划外'!R190</f>
        <v>0</v>
      </c>
    </row>
    <row r="76" spans="20:37">
      <c r="T76">
        <f>'附件4 规划外'!A191</f>
        <v>204</v>
      </c>
      <c r="U76" t="str">
        <f>'附件4 规划外'!B191</f>
        <v>开封力嘉食品科技有限公司</v>
      </c>
      <c r="V76" t="str">
        <f>'附件4 规划外'!C191</f>
        <v>产业</v>
      </c>
      <c r="W76" t="str">
        <f>'附件4 规划外'!D191</f>
        <v>不锈钢转子泵1
不锈钢转子泵2
打包机
打包机（停用状态）
采集器
砝码
循环型工业热风机
工业除湿机
工业除湿机
工业除湿机
冷冻库
半自动打包机
肩背式吸尘器
缠绕包装机
缠绕包装机
2、5号冷藏库
冷库机组
1/4号冷藏库
1/4号冷藏库
自动灌装设备</v>
      </c>
      <c r="X76">
        <f>'附件4 规划外'!E191</f>
        <v>120</v>
      </c>
      <c r="Y76">
        <f>'附件4 规划外'!F191</f>
        <v>120</v>
      </c>
      <c r="Z76">
        <f>'附件4 规划外'!G191</f>
        <v>0</v>
      </c>
      <c r="AA76">
        <f>'附件4 规划外'!H191</f>
        <v>0</v>
      </c>
      <c r="AB76" t="str">
        <f>'附件4 规划外'!I191</f>
        <v>完工</v>
      </c>
      <c r="AC76">
        <f>'附件4 规划外'!J191</f>
        <v>120</v>
      </c>
      <c r="AD76" t="str">
        <f>'附件4 规划外'!K191</f>
        <v/>
      </c>
      <c r="AE76" t="str">
        <f>'附件4 规划外'!L191</f>
        <v>竣工</v>
      </c>
      <c r="AF76" s="26">
        <f>'附件4 规划外'!M191</f>
        <v>44378</v>
      </c>
      <c r="AG76" s="26">
        <f>'附件4 规划外'!N191</f>
        <v>44440</v>
      </c>
      <c r="AH76" t="str">
        <f>'附件4 规划外'!O191</f>
        <v>市工业和信息化局</v>
      </c>
      <c r="AI76" t="str">
        <f>'附件4 规划外'!P191</f>
        <v>尉氏县</v>
      </c>
      <c r="AJ76">
        <f>'附件4 规划外'!Q191</f>
        <v>0</v>
      </c>
      <c r="AK76">
        <f>'附件4 规划外'!R191</f>
        <v>0</v>
      </c>
    </row>
    <row r="77" spans="20:37">
      <c r="T77">
        <f>'附件4 规划外'!A192</f>
        <v>205</v>
      </c>
      <c r="U77" t="str">
        <f>'附件4 规划外'!B192</f>
        <v>河南省中原皓月清真食品工业有限公司</v>
      </c>
      <c r="V77" t="str">
        <f>'附件4 规划外'!C192</f>
        <v>产业</v>
      </c>
      <c r="W77" t="str">
        <f>'附件4 规划外'!D192</f>
        <v>控制柜 自吸无堵塞排污泵控制柜 2 组
自吸无堵塞排污泵 ZW80-65-20-7.5 4 组
空压机（150升）  1 台
备用电机  4 台
循环泵  4 台
压泥机组 DWT1500-A 2 组
在线监测房屋  1 间
变压器 1600KVA 3 台
箱式变压器 1600KVA 1 台
高压开关柜 KZW-M 12 组
低压开关柜 50HZ/380V  组
整流电瓶柜 PZG-ZK 2 组
高低压联络柜 GZS1-14/KYN28-12 2 箱
值班空调 格力 5P 3 台
避雷柜 GZS1-23 2 组
进线柜 GZS1-22 2 组
计量柜 GZS1-21 2 组
出线柜 GZS1-12 4 组
隔离柜 GZS1-15 1 组
蓄电池屏 PZG-D 1 组
电容补偿柜 21AA/22AA 7 组
控制电源柜 30KW/50A 2 台
锅炉控制柜 150VA 2 台
天然气锅炉 WNSZ-1.0-YQ  WNSZ-1.25-YQ 2 组
解析除氧器 CJY-20 1 套
分汽缸 0516×8×3516 1 台
锅炉给水泵 ZQS-15/17 4 台
电焊机 350 1 台
切割机 400 1 台
压缩机控制柜 EACSB-F220HY 13 台
系统供应控制柜（通讯） 松下 4 台
事故风机控制柜 0413-OFX 1 台
气体报警器 氨气 1 台
压缩机油泵 YF-150 13 台
氨泵 40P10X4-RW-122.5 20 台
油泵 16# 2 台
油泵电机 16# 1 台
压缩机精粗滤芯  6 套
空气油分滤芯  1 套
加油泵  1 个
正压式呼吸机  2 台
真空泵  2 台
制冷泵房配电柜 冲霜水泵 1 台
乙二醇配电柜 SUP-1.1B 1 台
电机 SUP-1.1B 2 台
供水泵  5 台
消防泵  4 台
液位泵  2 台
二氧化氯发生器 ZSH-02000DC32 1 组
控制电柜 Q-SUVU26-2006 3 组
水泵电柜 Q-SUVU26-2006 3 组</v>
      </c>
      <c r="X77">
        <f>'附件4 规划外'!E192</f>
        <v>6</v>
      </c>
      <c r="Y77">
        <f>'附件4 规划外'!F192</f>
        <v>6</v>
      </c>
      <c r="Z77">
        <f>'附件4 规划外'!G192</f>
        <v>0</v>
      </c>
      <c r="AA77">
        <f>'附件4 规划外'!H192</f>
        <v>0</v>
      </c>
      <c r="AB77" t="str">
        <f>'附件4 规划外'!I192</f>
        <v>完工</v>
      </c>
      <c r="AC77">
        <f>'附件4 规划外'!J192</f>
        <v>6</v>
      </c>
      <c r="AD77" t="str">
        <f>'附件4 规划外'!K192</f>
        <v/>
      </c>
      <c r="AE77" t="str">
        <f>'附件4 规划外'!L192</f>
        <v>竣工</v>
      </c>
      <c r="AF77" s="26">
        <f>'附件4 规划外'!M192</f>
        <v>44378</v>
      </c>
      <c r="AG77" s="26">
        <f>'附件4 规划外'!N192</f>
        <v>44440</v>
      </c>
      <c r="AH77" t="str">
        <f>'附件4 规划外'!O192</f>
        <v>市工业和信息化局</v>
      </c>
      <c r="AI77" t="str">
        <f>'附件4 规划外'!P192</f>
        <v>尉氏县</v>
      </c>
      <c r="AJ77">
        <f>'附件4 规划外'!Q192</f>
        <v>0</v>
      </c>
      <c r="AK77">
        <f>'附件4 规划外'!R192</f>
        <v>0</v>
      </c>
    </row>
    <row r="78" spans="20:37">
      <c r="T78">
        <f>'附件4 规划外'!A193</f>
        <v>206</v>
      </c>
      <c r="U78" t="str">
        <f>'附件4 规划外'!B193</f>
        <v>尉氏县东辰生物科技有限公司</v>
      </c>
      <c r="V78" t="str">
        <f>'附件4 规划外'!C193</f>
        <v>产业</v>
      </c>
      <c r="W78" t="str">
        <f>'附件4 规划外'!D193</f>
        <v>4头灌装机、单头灌装机、水冷封口机、传送带电机、自吸泵、搅拌机、贴标机、打包机、工业扇</v>
      </c>
      <c r="X78">
        <f>'附件4 规划外'!E193</f>
        <v>5.65</v>
      </c>
      <c r="Y78">
        <f>'附件4 规划外'!F193</f>
        <v>5.65</v>
      </c>
      <c r="Z78">
        <f>'附件4 规划外'!G193</f>
        <v>0</v>
      </c>
      <c r="AA78">
        <f>'附件4 规划外'!H193</f>
        <v>0</v>
      </c>
      <c r="AB78" t="str">
        <f>'附件4 规划外'!I193</f>
        <v>完工</v>
      </c>
      <c r="AC78">
        <f>'附件4 规划外'!J193</f>
        <v>5.65</v>
      </c>
      <c r="AD78" t="str">
        <f>'附件4 规划外'!K193</f>
        <v/>
      </c>
      <c r="AE78" t="str">
        <f>'附件4 规划外'!L193</f>
        <v>竣工</v>
      </c>
      <c r="AF78" s="26">
        <f>'附件4 规划外'!M193</f>
        <v>44378</v>
      </c>
      <c r="AG78" s="26">
        <f>'附件4 规划外'!N193</f>
        <v>44440</v>
      </c>
      <c r="AH78" t="str">
        <f>'附件4 规划外'!O193</f>
        <v>市工业和信息化局</v>
      </c>
      <c r="AI78" t="str">
        <f>'附件4 规划外'!P193</f>
        <v>尉氏县</v>
      </c>
      <c r="AJ78">
        <f>'附件4 规划外'!Q193</f>
        <v>0</v>
      </c>
      <c r="AK78">
        <f>'附件4 规划外'!R193</f>
        <v>0</v>
      </c>
    </row>
    <row r="79" spans="32:33">
      <c r="AF79" s="26"/>
      <c r="AG79" s="26"/>
    </row>
  </sheetData>
  <sheetProtection sheet="1" formatCells="0" formatColumns="0" formatRows="0" sort="0" autoFilter="0" objects="1" scenarios="1"/>
  <autoFilter ref="A6:AK78">
    <extLst/>
  </autoFilter>
  <mergeCells count="5">
    <mergeCell ref="A1:G1"/>
    <mergeCell ref="H1:N1"/>
    <mergeCell ref="O1:U1"/>
    <mergeCell ref="A5:R5"/>
    <mergeCell ref="T5:AK5"/>
  </mergeCells>
  <pageMargins left="0.7" right="0.7"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8"/>
  <sheetViews>
    <sheetView zoomScale="90" zoomScaleNormal="90" workbookViewId="0">
      <pane ySplit="6" topLeftCell="A7" activePane="bottomLeft" state="frozen"/>
      <selection/>
      <selection pane="bottomLeft" activeCell="Q16" sqref="Q16"/>
    </sheetView>
  </sheetViews>
  <sheetFormatPr defaultColWidth="9" defaultRowHeight="13.5" outlineLevelRow="7"/>
  <sheetData>
    <row r="1" ht="14.15" customHeight="1" spans="1:21">
      <c r="A1" s="2" t="s">
        <v>1302</v>
      </c>
      <c r="B1" s="3"/>
      <c r="C1" s="3"/>
      <c r="D1" s="3"/>
      <c r="E1" s="3"/>
      <c r="F1" s="3"/>
      <c r="G1" s="4"/>
      <c r="H1" s="5" t="s">
        <v>1303</v>
      </c>
      <c r="I1" s="5"/>
      <c r="J1" s="5"/>
      <c r="K1" s="5"/>
      <c r="L1" s="5"/>
      <c r="M1" s="5"/>
      <c r="N1" s="5"/>
      <c r="O1" s="16" t="s">
        <v>1304</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2</v>
      </c>
      <c r="C3" s="10">
        <f t="shared" ref="C3:F4" si="0">J3+Q3</f>
        <v>18815</v>
      </c>
      <c r="D3" s="10">
        <f t="shared" si="0"/>
        <v>2</v>
      </c>
      <c r="E3" s="10">
        <f t="shared" si="0"/>
        <v>1</v>
      </c>
      <c r="F3" s="10">
        <f t="shared" si="0"/>
        <v>6200</v>
      </c>
      <c r="G3" s="11">
        <f>IF(C3=0,"-",ROUND(F3/C3,3))</f>
        <v>0.33</v>
      </c>
      <c r="H3" s="8" t="s">
        <v>1146</v>
      </c>
      <c r="I3" s="17">
        <f>COUNT(E7:E122)</f>
        <v>0</v>
      </c>
      <c r="J3" s="21">
        <f>SUM(E7:E122)</f>
        <v>0</v>
      </c>
      <c r="K3" s="21">
        <f>COUNTIF(I7:I122,"在建")+COUNTIF(I7:I122,"完工")</f>
        <v>0</v>
      </c>
      <c r="L3" s="21">
        <f>COUNTIF(I7:I122,"完工")</f>
        <v>0</v>
      </c>
      <c r="M3" s="17">
        <f>SUM(J7:J122)</f>
        <v>0</v>
      </c>
      <c r="N3" s="22" t="str">
        <f>IF(J3=0,"-",ROUND(M3/J3,3))</f>
        <v>-</v>
      </c>
      <c r="O3" s="19" t="s">
        <v>1146</v>
      </c>
      <c r="P3" s="20">
        <f>COUNT(X7:X122)</f>
        <v>2</v>
      </c>
      <c r="Q3" s="24">
        <f>SUM(X7:X122)</f>
        <v>18815</v>
      </c>
      <c r="R3" s="24">
        <f>COUNTIF(AB7:AB122,"在建")+COUNTIF(AB7:AB122,"完工")</f>
        <v>2</v>
      </c>
      <c r="S3" s="24">
        <f>COUNTIF(AB7:AB122,"完工")</f>
        <v>1</v>
      </c>
      <c r="T3" s="20">
        <f>SUM(AC7:AC122)</f>
        <v>6200</v>
      </c>
      <c r="U3" s="25">
        <f>IF(Q3=0,"-",ROUND(T3/Q3,3))</f>
        <v>0.33</v>
      </c>
    </row>
    <row r="4" s="1" customFormat="1" ht="27" spans="1:21">
      <c r="A4" s="9" t="s">
        <v>1147</v>
      </c>
      <c r="B4" s="10">
        <f>I4+P4</f>
        <v>2</v>
      </c>
      <c r="C4" s="10">
        <f t="shared" si="0"/>
        <v>6170</v>
      </c>
      <c r="D4" s="10">
        <f t="shared" si="0"/>
        <v>2</v>
      </c>
      <c r="E4" s="10">
        <f t="shared" si="0"/>
        <v>1</v>
      </c>
      <c r="F4" s="10">
        <f t="shared" si="0"/>
        <v>6170</v>
      </c>
      <c r="G4" s="12">
        <f>IF(C4=0,"-",ROUND(F4/C4,3))</f>
        <v>1</v>
      </c>
      <c r="H4" s="8" t="s">
        <v>1148</v>
      </c>
      <c r="I4" s="17">
        <f>COUNTIF(G7:G122,"&gt;0")</f>
        <v>0</v>
      </c>
      <c r="J4" s="21">
        <f>SUM(G7:G122)</f>
        <v>0</v>
      </c>
      <c r="K4" s="21">
        <f>COUNTIFS(G7:G122,"&gt;0",I7:I122,"完工")+COUNTIFS(G7:G122,"&gt;0",I7:I122,"在建")</f>
        <v>0</v>
      </c>
      <c r="L4" s="21">
        <f>COUNTIFS(G7:G122,"&gt;0",I7:I122,"完工")</f>
        <v>0</v>
      </c>
      <c r="M4" s="17">
        <f>SUM(K7:K122)</f>
        <v>0</v>
      </c>
      <c r="N4" s="22" t="str">
        <f>IF(J4=0,"-",ROUND(M4/J4,3))</f>
        <v>-</v>
      </c>
      <c r="O4" s="19" t="s">
        <v>1148</v>
      </c>
      <c r="P4" s="20">
        <f>COUNTIF(Z7:Z122,"&gt;0")</f>
        <v>2</v>
      </c>
      <c r="Q4" s="24">
        <f>SUM(Z7:Z122)</f>
        <v>6170</v>
      </c>
      <c r="R4" s="24">
        <f>COUNTIFS(Z7:Z122,"&gt;0",AB7:AB122,"完工")+COUNTIFS(Z7:Z122,"&gt;0",AB7:AB122,"在建")</f>
        <v>2</v>
      </c>
      <c r="S4" s="24">
        <f>COUNTIFS(Z7:Z122,"&gt;0",AB7:AB122,"完工")</f>
        <v>1</v>
      </c>
      <c r="T4" s="20">
        <f>SUM(AD7:AD122)</f>
        <v>6170</v>
      </c>
      <c r="U4" s="25">
        <f>IF(Q4=0,"-",ROUND(T4/Q4,3))</f>
        <v>1</v>
      </c>
    </row>
    <row r="5" s="1" customFormat="1" spans="1:37">
      <c r="A5" s="13" t="s">
        <v>1305</v>
      </c>
      <c r="B5" s="14"/>
      <c r="C5" s="14"/>
      <c r="D5" s="14"/>
      <c r="E5" s="14"/>
      <c r="F5" s="14"/>
      <c r="G5" s="14"/>
      <c r="H5" s="14"/>
      <c r="I5" s="14"/>
      <c r="J5" s="14"/>
      <c r="K5" s="14"/>
      <c r="L5" s="14"/>
      <c r="M5" s="14"/>
      <c r="N5" s="14"/>
      <c r="O5" s="14"/>
      <c r="P5" s="14"/>
      <c r="Q5" s="14"/>
      <c r="R5" s="14"/>
      <c r="T5" s="13" t="s">
        <v>1306</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20:37">
      <c r="T7">
        <f>'附件4 规划外'!A120</f>
        <v>133</v>
      </c>
      <c r="U7" t="str">
        <f>'附件4 规划外'!B120</f>
        <v>开封〇二一八粮油储备有限公司灾后异地重建项目</v>
      </c>
      <c r="V7" t="str">
        <f>'附件4 规划外'!C120</f>
        <v>粮食储备</v>
      </c>
      <c r="W7" t="str">
        <f>'附件4 规划外'!D120</f>
        <v>1.规划土地65亩
2.标准散装粮房式仓5万吨，5万吨*600万元/万吨=3000万元
3.办公及职工宿舍2200平方米。
4.地坪
5.围墙，大门，门卫室</v>
      </c>
      <c r="X7">
        <f>'附件4 规划外'!E120</f>
        <v>3600</v>
      </c>
      <c r="Y7">
        <f>'附件4 规划外'!F120</f>
        <v>30</v>
      </c>
      <c r="Z7">
        <f>'附件4 规划外'!G120</f>
        <v>3570</v>
      </c>
      <c r="AA7">
        <f>'附件4 规划外'!H120</f>
        <v>0</v>
      </c>
      <c r="AB7" t="str">
        <f>'附件4 规划外'!I120</f>
        <v>完工</v>
      </c>
      <c r="AC7">
        <f>'附件4 规划外'!J120</f>
        <v>3600</v>
      </c>
      <c r="AD7">
        <f>'附件4 规划外'!K120</f>
        <v>3570</v>
      </c>
      <c r="AE7" t="str">
        <f>'附件4 规划外'!L120</f>
        <v>开封0二一八粮油储备有限公司与开封金麦粮油有限公司于2021年7月31日签订资产转让合同，0218公司以4150万元购买金麦粮油全部资产。</v>
      </c>
      <c r="AF7">
        <f>'附件4 规划外'!M120</f>
        <v>44440</v>
      </c>
      <c r="AG7">
        <f>'附件4 规划外'!N120</f>
        <v>45536</v>
      </c>
      <c r="AH7" t="str">
        <f>'附件4 规划外'!O120</f>
        <v>市粮食和储备局</v>
      </c>
      <c r="AI7" t="str">
        <f>'附件4 规划外'!P120</f>
        <v>祥符区</v>
      </c>
      <c r="AJ7">
        <f>'附件4 规划外'!Q120</f>
        <v>0</v>
      </c>
      <c r="AK7">
        <f>'附件4 规划外'!R120</f>
        <v>0</v>
      </c>
    </row>
    <row r="8" spans="20:37">
      <c r="T8">
        <f>'附件4 规划外'!A121</f>
        <v>134</v>
      </c>
      <c r="U8" t="str">
        <f>'附件4 规划外'!B121</f>
        <v>兰考县粮食和物资储备局粮食仓储物流设施项目</v>
      </c>
      <c r="V8" t="str">
        <f>'附件4 规划外'!C121</f>
        <v>粮食储备</v>
      </c>
      <c r="W8" t="str">
        <f>'附件4 规划外'!D121</f>
        <v>建设投资1.52亿元人民币，本年度计划使用地方专项债4500万元，目前已招标2600万元：建设具有4.1万吨粮食仓库，2000㎡地坪，下水道300米，购置输送机、装粮机、卸粮机、振动筛、平仓机。1900万元未招标。</v>
      </c>
      <c r="X8">
        <f>'附件4 规划外'!E121</f>
        <v>15215</v>
      </c>
      <c r="Y8">
        <f>'附件4 规划外'!F121</f>
        <v>0</v>
      </c>
      <c r="Z8">
        <f>'附件4 规划外'!G121</f>
        <v>2600</v>
      </c>
      <c r="AA8">
        <f>'附件4 规划外'!H121</f>
        <v>12615</v>
      </c>
      <c r="AB8" t="str">
        <f>'附件4 规划外'!I121</f>
        <v>在建</v>
      </c>
      <c r="AC8">
        <f>'附件4 规划外'!J121</f>
        <v>2600</v>
      </c>
      <c r="AD8">
        <f>'附件4 规划外'!K121</f>
        <v>2600</v>
      </c>
      <c r="AE8" t="str">
        <f>'附件4 规划外'!L121</f>
        <v>已招标项目正在设计图纸</v>
      </c>
      <c r="AF8">
        <f>'附件4 规划外'!M121</f>
        <v>44676</v>
      </c>
      <c r="AG8">
        <f>'附件4 规划外'!N121</f>
        <v>45261</v>
      </c>
      <c r="AH8" t="str">
        <f>'附件4 规划外'!O121</f>
        <v>市粮食和储备局</v>
      </c>
      <c r="AI8" t="str">
        <f>'附件4 规划外'!P121</f>
        <v>兰考县</v>
      </c>
      <c r="AJ8">
        <f>'附件4 规划外'!Q121</f>
        <v>0</v>
      </c>
      <c r="AK8">
        <f>'附件4 规划外'!R121</f>
        <v>0</v>
      </c>
    </row>
  </sheetData>
  <sheetProtection sheet="1" formatCells="0" formatColumns="0" formatRows="0" sort="0" autoFilter="0" objects="1" scenarios="1"/>
  <autoFilter ref="A6:AK8">
    <extLst/>
  </autoFilter>
  <mergeCells count="5">
    <mergeCell ref="A1:G1"/>
    <mergeCell ref="H1:N1"/>
    <mergeCell ref="O1:U1"/>
    <mergeCell ref="A5:R5"/>
    <mergeCell ref="T5:AK5"/>
  </mergeCells>
  <pageMargins left="0.7" right="0.7" top="0.75" bottom="0.75" header="0.3" footer="0.3"/>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7"/>
  <sheetViews>
    <sheetView zoomScale="90" zoomScaleNormal="90" workbookViewId="0">
      <pane ySplit="6" topLeftCell="A7" activePane="bottomLeft" state="frozen"/>
      <selection/>
      <selection pane="bottomLeft" activeCell="Q16" sqref="Q16"/>
    </sheetView>
  </sheetViews>
  <sheetFormatPr defaultColWidth="9" defaultRowHeight="13.5" outlineLevelRow="6"/>
  <sheetData>
    <row r="1" ht="14.15" customHeight="1" spans="1:21">
      <c r="A1" s="2" t="s">
        <v>1307</v>
      </c>
      <c r="B1" s="3"/>
      <c r="C1" s="3"/>
      <c r="D1" s="3"/>
      <c r="E1" s="3"/>
      <c r="F1" s="3"/>
      <c r="G1" s="4"/>
      <c r="H1" s="5" t="s">
        <v>1308</v>
      </c>
      <c r="I1" s="5"/>
      <c r="J1" s="5"/>
      <c r="K1" s="5"/>
      <c r="L1" s="5"/>
      <c r="M1" s="5"/>
      <c r="N1" s="5"/>
      <c r="O1" s="16" t="s">
        <v>1309</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1</v>
      </c>
      <c r="C3" s="10">
        <f t="shared" ref="C3:F4" si="0">J3+Q3</f>
        <v>26.28</v>
      </c>
      <c r="D3" s="10">
        <f t="shared" si="0"/>
        <v>1</v>
      </c>
      <c r="E3" s="10">
        <f t="shared" si="0"/>
        <v>1</v>
      </c>
      <c r="F3" s="10">
        <f t="shared" si="0"/>
        <v>26.28</v>
      </c>
      <c r="G3" s="11">
        <f>IF(C3=0,"-",ROUND(F3/C3,3))</f>
        <v>1</v>
      </c>
      <c r="H3" s="8" t="s">
        <v>1146</v>
      </c>
      <c r="I3" s="17">
        <f>COUNT(E7:E122)</f>
        <v>0</v>
      </c>
      <c r="J3" s="21">
        <f>SUM(E7:E122)</f>
        <v>0</v>
      </c>
      <c r="K3" s="21">
        <f>COUNTIF(I7:I122,"在建")+COUNTIF(I7:I122,"完工")</f>
        <v>0</v>
      </c>
      <c r="L3" s="21">
        <f>COUNTIF(I7:I122,"完工")</f>
        <v>0</v>
      </c>
      <c r="M3" s="17">
        <f>SUM(J7:J122)</f>
        <v>0</v>
      </c>
      <c r="N3" s="22" t="str">
        <f>IF(J3=0,"-",ROUND(M3/J3,3))</f>
        <v>-</v>
      </c>
      <c r="O3" s="19" t="s">
        <v>1146</v>
      </c>
      <c r="P3" s="20">
        <f>COUNT(X7:X122)</f>
        <v>1</v>
      </c>
      <c r="Q3" s="24">
        <f>SUM(X7:X122)</f>
        <v>26.28</v>
      </c>
      <c r="R3" s="24">
        <f>COUNTIF(AB7:AB122,"在建")+COUNTIF(AB7:AB122,"完工")</f>
        <v>1</v>
      </c>
      <c r="S3" s="24">
        <f>COUNTIF(AB7:AB122,"完工")</f>
        <v>1</v>
      </c>
      <c r="T3" s="20">
        <f>SUM(AC7:AC122)</f>
        <v>26.28</v>
      </c>
      <c r="U3" s="25">
        <f>IF(Q3=0,"-",ROUND(T3/Q3,3))</f>
        <v>1</v>
      </c>
    </row>
    <row r="4" s="1" customFormat="1" ht="27" spans="1:21">
      <c r="A4" s="9" t="s">
        <v>1147</v>
      </c>
      <c r="B4" s="10">
        <f>I4+P4</f>
        <v>0</v>
      </c>
      <c r="C4" s="10">
        <f t="shared" si="0"/>
        <v>0</v>
      </c>
      <c r="D4" s="10">
        <f t="shared" si="0"/>
        <v>0</v>
      </c>
      <c r="E4" s="10">
        <f t="shared" si="0"/>
        <v>0</v>
      </c>
      <c r="F4" s="10">
        <f t="shared" si="0"/>
        <v>0</v>
      </c>
      <c r="G4" s="12" t="str">
        <f>IF(C4=0,"-",ROUND(F4/C4,3))</f>
        <v>-</v>
      </c>
      <c r="H4" s="8" t="s">
        <v>1148</v>
      </c>
      <c r="I4" s="17">
        <f>COUNTIF(G7:G122,"&gt;0")</f>
        <v>0</v>
      </c>
      <c r="J4" s="21">
        <f>SUM(G7:G122)</f>
        <v>0</v>
      </c>
      <c r="K4" s="21">
        <f>COUNTIFS(G7:G122,"&gt;0",I7:I122,"完工")+COUNTIFS(G7:G122,"&gt;0",I7:I122,"在建")</f>
        <v>0</v>
      </c>
      <c r="L4" s="21">
        <f>COUNTIFS(G7:G122,"&gt;0",I7:I122,"完工")</f>
        <v>0</v>
      </c>
      <c r="M4" s="17">
        <f>SUM(K7:K122)</f>
        <v>0</v>
      </c>
      <c r="N4" s="22" t="str">
        <f>IF(J4=0,"-",ROUND(M4/J4,3))</f>
        <v>-</v>
      </c>
      <c r="O4" s="19" t="s">
        <v>1148</v>
      </c>
      <c r="P4" s="20">
        <f>COUNTIF(Z7:Z122,"&gt;0")</f>
        <v>0</v>
      </c>
      <c r="Q4" s="24">
        <f>SUM(Z7:Z122)</f>
        <v>0</v>
      </c>
      <c r="R4" s="24">
        <f>COUNTIFS(Z7:Z122,"&gt;0",AB7:AB122,"完工")+COUNTIFS(Z7:Z122,"&gt;0",AB7:AB122,"在建")</f>
        <v>0</v>
      </c>
      <c r="S4" s="24">
        <f>COUNTIFS(Z7:Z122,"&gt;0",AB7:AB122,"完工")</f>
        <v>0</v>
      </c>
      <c r="T4" s="20">
        <f>SUM(AD7:AD122)</f>
        <v>0</v>
      </c>
      <c r="U4" s="25" t="str">
        <f>IF(Q4=0,"-",ROUND(T4/Q4,3))</f>
        <v>-</v>
      </c>
    </row>
    <row r="5" s="1" customFormat="1" spans="1:37">
      <c r="A5" s="13" t="s">
        <v>1310</v>
      </c>
      <c r="B5" s="14"/>
      <c r="C5" s="14"/>
      <c r="D5" s="14"/>
      <c r="E5" s="14"/>
      <c r="F5" s="14"/>
      <c r="G5" s="14"/>
      <c r="H5" s="14"/>
      <c r="I5" s="14"/>
      <c r="J5" s="14"/>
      <c r="K5" s="14"/>
      <c r="L5" s="14"/>
      <c r="M5" s="14"/>
      <c r="N5" s="14"/>
      <c r="O5" s="14"/>
      <c r="P5" s="14"/>
      <c r="Q5" s="14"/>
      <c r="R5" s="14"/>
      <c r="T5" s="13" t="s">
        <v>1311</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20:37">
      <c r="T7">
        <f>'附件4 规划外'!A195</f>
        <v>208</v>
      </c>
      <c r="U7" t="str">
        <f>'附件4 规划外'!B195</f>
        <v>开封市集中式饮用水水源地规范化建设修复项目</v>
      </c>
      <c r="V7" t="str">
        <f>'附件4 规划外'!C195</f>
        <v>生态环境</v>
      </c>
      <c r="W7" t="str">
        <f>'附件4 规划外'!D195</f>
        <v>开封市集中式饮用水水源地规范化建设项目前端设备建设在开封市黑池、柳池岸边，由于7月20日特大洪水引起坍塌，造成岸边十五路视频监控设备损坏，（包含摄像机、网桥、太阳能设备、防雷器、维修人工费等）共损失 26.28万元。</v>
      </c>
      <c r="X7">
        <f>'附件4 规划外'!E195</f>
        <v>26.28</v>
      </c>
      <c r="Y7">
        <f>'附件4 规划外'!F195</f>
        <v>26.28</v>
      </c>
      <c r="Z7">
        <f>'附件4 规划外'!G195</f>
        <v>0</v>
      </c>
      <c r="AA7">
        <f>'附件4 规划外'!H195</f>
        <v>0</v>
      </c>
      <c r="AB7" t="str">
        <f>'附件4 规划外'!I195</f>
        <v>完工</v>
      </c>
      <c r="AC7">
        <f>'附件4 规划外'!J195</f>
        <v>26.28</v>
      </c>
      <c r="AD7" t="str">
        <f>'附件4 规划外'!K195</f>
        <v/>
      </c>
      <c r="AE7" t="str">
        <f>'附件4 规划外'!L195</f>
        <v>项目运维公司已自行修复。</v>
      </c>
      <c r="AF7" t="str">
        <f>'附件4 规划外'!M195</f>
        <v>竣工</v>
      </c>
      <c r="AG7" t="str">
        <f>'附件4 规划外'!N195</f>
        <v>竣工</v>
      </c>
      <c r="AH7" t="str">
        <f>'附件4 规划外'!O195</f>
        <v>市生态环境局</v>
      </c>
      <c r="AI7" t="str">
        <f>'附件4 规划外'!P195</f>
        <v>市本级</v>
      </c>
      <c r="AJ7">
        <f>'附件4 规划外'!Q195</f>
        <v>0</v>
      </c>
      <c r="AK7">
        <f>'附件4 规划外'!R195</f>
        <v>0</v>
      </c>
    </row>
  </sheetData>
  <sheetProtection sheet="1" formatCells="0" formatColumns="0" formatRows="0" sort="0" autoFilter="0" objects="1" scenarios="1"/>
  <autoFilter ref="A6:AK7">
    <extLst/>
  </autoFilter>
  <mergeCells count="5">
    <mergeCell ref="A1:G1"/>
    <mergeCell ref="H1:N1"/>
    <mergeCell ref="O1:U1"/>
    <mergeCell ref="A5:R5"/>
    <mergeCell ref="T5:AK5"/>
  </mergeCells>
  <pageMargins left="0.7" right="0.7"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7"/>
  <sheetViews>
    <sheetView zoomScale="90" zoomScaleNormal="90" workbookViewId="0">
      <pane ySplit="6" topLeftCell="A7" activePane="bottomLeft" state="frozen"/>
      <selection/>
      <selection pane="bottomLeft" activeCell="Q16" sqref="Q16"/>
    </sheetView>
  </sheetViews>
  <sheetFormatPr defaultColWidth="9" defaultRowHeight="13.5" outlineLevelRow="6"/>
  <sheetData>
    <row r="1" ht="14.15" customHeight="1" spans="1:21">
      <c r="A1" s="2" t="s">
        <v>1312</v>
      </c>
      <c r="B1" s="3"/>
      <c r="C1" s="3"/>
      <c r="D1" s="3"/>
      <c r="E1" s="3"/>
      <c r="F1" s="3"/>
      <c r="G1" s="4"/>
      <c r="H1" s="5" t="s">
        <v>1313</v>
      </c>
      <c r="I1" s="5"/>
      <c r="J1" s="5"/>
      <c r="K1" s="5"/>
      <c r="L1" s="5"/>
      <c r="M1" s="5"/>
      <c r="N1" s="5"/>
      <c r="O1" s="16" t="s">
        <v>1314</v>
      </c>
      <c r="P1" s="16"/>
      <c r="Q1" s="16"/>
      <c r="R1" s="16"/>
      <c r="S1" s="16"/>
      <c r="T1" s="16"/>
      <c r="U1" s="16"/>
    </row>
    <row r="2" s="1" customFormat="1" ht="27" spans="1:21">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row>
    <row r="3" s="1" customFormat="1" spans="1:21">
      <c r="A3" s="9" t="s">
        <v>1146</v>
      </c>
      <c r="B3" s="10">
        <f>I3+P3</f>
        <v>1</v>
      </c>
      <c r="C3" s="10">
        <f t="shared" ref="C3:F4" si="0">J3+Q3</f>
        <v>20</v>
      </c>
      <c r="D3" s="10">
        <f t="shared" si="0"/>
        <v>1</v>
      </c>
      <c r="E3" s="10">
        <f t="shared" si="0"/>
        <v>1</v>
      </c>
      <c r="F3" s="10">
        <f t="shared" si="0"/>
        <v>20</v>
      </c>
      <c r="G3" s="11">
        <f>IF(C3=0,"-",ROUND(F3/C3,3))</f>
        <v>1</v>
      </c>
      <c r="H3" s="8" t="s">
        <v>1146</v>
      </c>
      <c r="I3" s="17">
        <f>COUNT(E7:E122)</f>
        <v>0</v>
      </c>
      <c r="J3" s="21">
        <f>SUM(E7:E122)</f>
        <v>0</v>
      </c>
      <c r="K3" s="21">
        <f>COUNTIF(I7:I122,"在建")+COUNTIF(I7:I122,"完工")</f>
        <v>0</v>
      </c>
      <c r="L3" s="21">
        <f>COUNTIF(I7:I122,"完工")</f>
        <v>0</v>
      </c>
      <c r="M3" s="17">
        <f>SUM(J7:J122)</f>
        <v>0</v>
      </c>
      <c r="N3" s="22" t="str">
        <f>IF(J3=0,"-",ROUND(M3/J3,3))</f>
        <v>-</v>
      </c>
      <c r="O3" s="19" t="s">
        <v>1146</v>
      </c>
      <c r="P3" s="20">
        <f>COUNT(X7:X122)</f>
        <v>1</v>
      </c>
      <c r="Q3" s="24">
        <f>SUM(X7:X122)</f>
        <v>20</v>
      </c>
      <c r="R3" s="24">
        <f>COUNTIF(AB7:AB122,"在建")+COUNTIF(AB7:AB122,"完工")</f>
        <v>1</v>
      </c>
      <c r="S3" s="24">
        <f>COUNTIF(AB7:AB122,"完工")</f>
        <v>1</v>
      </c>
      <c r="T3" s="20">
        <f>SUM(AC7:AC122)</f>
        <v>20</v>
      </c>
      <c r="U3" s="25">
        <f>IF(Q3=0,"-",ROUND(T3/Q3,3))</f>
        <v>1</v>
      </c>
    </row>
    <row r="4" s="1" customFormat="1" ht="27" spans="1:21">
      <c r="A4" s="9" t="s">
        <v>1147</v>
      </c>
      <c r="B4" s="10">
        <f>I4+P4</f>
        <v>0</v>
      </c>
      <c r="C4" s="10">
        <f t="shared" si="0"/>
        <v>0</v>
      </c>
      <c r="D4" s="10">
        <f t="shared" si="0"/>
        <v>0</v>
      </c>
      <c r="E4" s="10">
        <f t="shared" si="0"/>
        <v>0</v>
      </c>
      <c r="F4" s="10">
        <f t="shared" si="0"/>
        <v>0</v>
      </c>
      <c r="G4" s="12" t="str">
        <f>IF(C4=0,"-",ROUND(F4/C4,3))</f>
        <v>-</v>
      </c>
      <c r="H4" s="8" t="s">
        <v>1148</v>
      </c>
      <c r="I4" s="17">
        <f>COUNTIF(G7:G122,"&gt;0")</f>
        <v>0</v>
      </c>
      <c r="J4" s="21">
        <f>SUM(G7:G122)</f>
        <v>0</v>
      </c>
      <c r="K4" s="21">
        <f>COUNTIFS(G7:G122,"&gt;0",I7:I122,"完工")+COUNTIFS(G7:G122,"&gt;0",I7:I122,"在建")</f>
        <v>0</v>
      </c>
      <c r="L4" s="21">
        <f>COUNTIFS(G7:G122,"&gt;0",I7:I122,"完工")</f>
        <v>0</v>
      </c>
      <c r="M4" s="17">
        <f>SUM(K7:K122)</f>
        <v>0</v>
      </c>
      <c r="N4" s="22" t="str">
        <f>IF(J4=0,"-",ROUND(M4/J4,3))</f>
        <v>-</v>
      </c>
      <c r="O4" s="19" t="s">
        <v>1148</v>
      </c>
      <c r="P4" s="20">
        <f>COUNTIF(Z7:Z122,"&gt;0")</f>
        <v>0</v>
      </c>
      <c r="Q4" s="24">
        <f>SUM(Z7:Z122)</f>
        <v>0</v>
      </c>
      <c r="R4" s="24">
        <f>COUNTIFS(Z7:Z122,"&gt;0",AB7:AB122,"完工")+COUNTIFS(Z7:Z122,"&gt;0",AB7:AB122,"在建")</f>
        <v>0</v>
      </c>
      <c r="S4" s="24">
        <f>COUNTIFS(Z7:Z122,"&gt;0",AB7:AB122,"完工")</f>
        <v>0</v>
      </c>
      <c r="T4" s="20">
        <f>SUM(AD7:AD122)</f>
        <v>0</v>
      </c>
      <c r="U4" s="25" t="str">
        <f>IF(Q4=0,"-",ROUND(T4/Q4,3))</f>
        <v>-</v>
      </c>
    </row>
    <row r="5" s="1" customFormat="1" spans="1:37">
      <c r="A5" s="13" t="s">
        <v>1315</v>
      </c>
      <c r="B5" s="14"/>
      <c r="C5" s="14"/>
      <c r="D5" s="14"/>
      <c r="E5" s="14"/>
      <c r="F5" s="14"/>
      <c r="G5" s="14"/>
      <c r="H5" s="14"/>
      <c r="I5" s="14"/>
      <c r="J5" s="14"/>
      <c r="K5" s="14"/>
      <c r="L5" s="14"/>
      <c r="M5" s="14"/>
      <c r="N5" s="14"/>
      <c r="O5" s="14"/>
      <c r="P5" s="14"/>
      <c r="Q5" s="14"/>
      <c r="R5" s="14"/>
      <c r="T5" s="13" t="s">
        <v>1316</v>
      </c>
      <c r="U5" s="14"/>
      <c r="V5" s="14"/>
      <c r="W5" s="14"/>
      <c r="X5" s="14"/>
      <c r="Y5" s="14"/>
      <c r="Z5" s="14"/>
      <c r="AA5" s="14"/>
      <c r="AB5" s="14"/>
      <c r="AC5" s="14"/>
      <c r="AD5" s="14"/>
      <c r="AE5" s="14"/>
      <c r="AF5" s="14"/>
      <c r="AG5" s="14"/>
      <c r="AH5" s="14"/>
      <c r="AI5" s="14"/>
      <c r="AJ5" s="14"/>
      <c r="AK5" s="14"/>
    </row>
    <row r="6" s="1" customFormat="1" ht="51" spans="1:37">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T6" s="6" t="s">
        <v>0</v>
      </c>
      <c r="U6" s="6" t="s">
        <v>1</v>
      </c>
      <c r="V6" s="6" t="s">
        <v>2</v>
      </c>
      <c r="W6" s="6" t="s">
        <v>3</v>
      </c>
      <c r="X6" s="7" t="s">
        <v>4</v>
      </c>
      <c r="Y6" s="15" t="s">
        <v>576</v>
      </c>
      <c r="Z6" s="15" t="s">
        <v>577</v>
      </c>
      <c r="AA6" s="15" t="s">
        <v>578</v>
      </c>
      <c r="AB6" s="7" t="s">
        <v>8</v>
      </c>
      <c r="AC6" s="7" t="s">
        <v>9</v>
      </c>
      <c r="AD6" s="7" t="s">
        <v>10</v>
      </c>
      <c r="AE6" s="7" t="s">
        <v>11</v>
      </c>
      <c r="AF6" s="7" t="s">
        <v>12</v>
      </c>
      <c r="AG6" s="7" t="s">
        <v>13</v>
      </c>
      <c r="AH6" s="6" t="s">
        <v>581</v>
      </c>
      <c r="AI6" s="6" t="s">
        <v>15</v>
      </c>
      <c r="AJ6" s="6" t="s">
        <v>16</v>
      </c>
      <c r="AK6" s="6" t="s">
        <v>17</v>
      </c>
    </row>
    <row r="7" spans="20:37">
      <c r="T7">
        <f>'附件4 规划外'!A194</f>
        <v>207</v>
      </c>
      <c r="U7" t="str">
        <f>'附件4 规划外'!B194</f>
        <v>商超、电商企业加油站灾后修复项目</v>
      </c>
      <c r="V7" t="str">
        <f>'附件4 规划外'!C194</f>
        <v>商超</v>
      </c>
      <c r="W7" t="str">
        <f>'附件4 规划外'!D194</f>
        <v>对鲜风超市、容培商行、百泰副食、开封亚符电子商务有限公司</v>
      </c>
      <c r="X7">
        <f>'附件4 规划外'!E194</f>
        <v>20</v>
      </c>
      <c r="Y7">
        <f>'附件4 规划外'!F194</f>
        <v>20</v>
      </c>
      <c r="Z7">
        <f>'附件4 规划外'!G194</f>
        <v>0</v>
      </c>
      <c r="AA7">
        <f>'附件4 规划外'!H194</f>
        <v>0</v>
      </c>
      <c r="AB7" t="str">
        <f>'附件4 规划外'!I194</f>
        <v>完工</v>
      </c>
      <c r="AC7">
        <f>'附件4 规划外'!J194</f>
        <v>20</v>
      </c>
      <c r="AD7" t="str">
        <f>'附件4 规划外'!K194</f>
        <v/>
      </c>
      <c r="AE7" t="str">
        <f>'附件4 规划外'!L194</f>
        <v>竣工</v>
      </c>
      <c r="AF7">
        <f>'附件4 规划外'!M194</f>
        <v>44409</v>
      </c>
      <c r="AG7">
        <f>'附件4 规划外'!N194</f>
        <v>44440</v>
      </c>
      <c r="AH7" t="str">
        <f>'附件4 规划外'!O194</f>
        <v>市工业和信息化局</v>
      </c>
      <c r="AI7" t="str">
        <f>'附件4 规划外'!P194</f>
        <v>尉氏县</v>
      </c>
      <c r="AJ7">
        <f>'附件4 规划外'!Q194</f>
        <v>0</v>
      </c>
      <c r="AK7">
        <f>'附件4 规划外'!R194</f>
        <v>0</v>
      </c>
    </row>
  </sheetData>
  <sheetProtection sheet="1" formatCells="0" formatColumns="0" formatRows="0" sort="0" autoFilter="0" objects="1" scenarios="1"/>
  <autoFilter ref="A6:AK7">
    <extLst/>
  </autoFilter>
  <mergeCells count="5">
    <mergeCell ref="A1:G1"/>
    <mergeCell ref="H1:N1"/>
    <mergeCell ref="O1:U1"/>
    <mergeCell ref="A5:R5"/>
    <mergeCell ref="T5:AK5"/>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43"/>
  <sheetViews>
    <sheetView workbookViewId="0">
      <selection activeCell="G23" sqref="G23"/>
    </sheetView>
  </sheetViews>
  <sheetFormatPr defaultColWidth="9" defaultRowHeight="13.5"/>
  <cols>
    <col min="4" max="4" width="10.0916666666667" customWidth="1"/>
    <col min="5" max="7" width="8.725" customWidth="1"/>
    <col min="11" max="11" width="8.725" customWidth="1"/>
    <col min="23" max="42" width="9" hidden="1" customWidth="1"/>
  </cols>
  <sheetData>
    <row r="1" ht="22.5" spans="1:21">
      <c r="A1" s="47" t="s">
        <v>1128</v>
      </c>
      <c r="B1" s="47"/>
      <c r="C1" s="47"/>
      <c r="D1" s="47"/>
      <c r="E1" s="47"/>
      <c r="F1" s="47"/>
      <c r="G1" s="47"/>
      <c r="H1" s="47"/>
      <c r="I1" s="47"/>
      <c r="J1" s="47"/>
      <c r="K1" s="47"/>
      <c r="L1" s="47"/>
      <c r="M1" s="47"/>
      <c r="N1" s="47"/>
      <c r="O1" s="47"/>
      <c r="P1" s="47"/>
      <c r="Q1" s="47"/>
      <c r="R1" s="47"/>
      <c r="S1" s="47"/>
      <c r="T1" s="47"/>
      <c r="U1" s="47"/>
    </row>
    <row r="2" spans="1:21">
      <c r="A2" s="48" t="s">
        <v>1096</v>
      </c>
      <c r="B2" s="48"/>
      <c r="C2" s="48"/>
      <c r="D2" s="49"/>
      <c r="E2" s="49"/>
      <c r="F2" s="50" t="s">
        <v>1097</v>
      </c>
      <c r="G2" s="50"/>
      <c r="H2" s="50"/>
      <c r="I2" s="50" t="s">
        <v>1098</v>
      </c>
      <c r="J2" s="50"/>
      <c r="K2" s="50"/>
      <c r="L2" s="50" t="s">
        <v>1099</v>
      </c>
      <c r="M2" s="50"/>
      <c r="N2" s="50"/>
      <c r="O2" s="50"/>
      <c r="P2" s="50"/>
      <c r="Q2" s="50"/>
      <c r="R2" s="50"/>
      <c r="S2" s="50"/>
      <c r="T2" s="81"/>
      <c r="U2" s="81"/>
    </row>
    <row r="3" spans="1:42">
      <c r="A3" s="51" t="s">
        <v>0</v>
      </c>
      <c r="B3" s="51" t="s">
        <v>1100</v>
      </c>
      <c r="C3" s="52" t="s">
        <v>1101</v>
      </c>
      <c r="D3" s="53"/>
      <c r="E3" s="53"/>
      <c r="F3" s="53"/>
      <c r="G3" s="53"/>
      <c r="H3" s="103"/>
      <c r="I3" s="111" t="s">
        <v>1102</v>
      </c>
      <c r="J3" s="112"/>
      <c r="K3" s="112"/>
      <c r="L3" s="112"/>
      <c r="M3" s="112"/>
      <c r="N3" s="113"/>
      <c r="O3" s="114" t="s">
        <v>1103</v>
      </c>
      <c r="P3" s="114"/>
      <c r="Q3" s="114"/>
      <c r="R3" s="114"/>
      <c r="S3" s="114"/>
      <c r="T3" s="126"/>
      <c r="U3" s="82" t="s">
        <v>17</v>
      </c>
      <c r="W3" s="127"/>
      <c r="X3" s="127"/>
      <c r="Y3" s="132" t="s">
        <v>1101</v>
      </c>
      <c r="Z3" s="133"/>
      <c r="AA3" s="133"/>
      <c r="AB3" s="133"/>
      <c r="AC3" s="133"/>
      <c r="AD3" s="134"/>
      <c r="AE3" s="135" t="s">
        <v>1104</v>
      </c>
      <c r="AF3" s="136"/>
      <c r="AG3" s="136"/>
      <c r="AH3" s="136"/>
      <c r="AI3" s="136"/>
      <c r="AJ3" s="143"/>
      <c r="AK3" s="144" t="s">
        <v>1105</v>
      </c>
      <c r="AL3" s="145"/>
      <c r="AM3" s="145"/>
      <c r="AN3" s="145"/>
      <c r="AO3" s="145"/>
      <c r="AP3" s="145"/>
    </row>
    <row r="4" spans="1:42">
      <c r="A4" s="55"/>
      <c r="B4" s="55"/>
      <c r="C4" s="56" t="s">
        <v>1129</v>
      </c>
      <c r="D4" s="57"/>
      <c r="E4" s="56" t="s">
        <v>1130</v>
      </c>
      <c r="F4" s="56"/>
      <c r="G4" s="56"/>
      <c r="H4" s="104"/>
      <c r="I4" s="71" t="s">
        <v>1131</v>
      </c>
      <c r="J4" s="78"/>
      <c r="K4" s="71" t="s">
        <v>1130</v>
      </c>
      <c r="L4" s="71"/>
      <c r="M4" s="71"/>
      <c r="N4" s="71"/>
      <c r="O4" s="115" t="s">
        <v>1132</v>
      </c>
      <c r="P4" s="116"/>
      <c r="Q4" s="115" t="s">
        <v>1130</v>
      </c>
      <c r="R4" s="115"/>
      <c r="S4" s="115"/>
      <c r="T4" s="128"/>
      <c r="U4" s="83"/>
      <c r="W4" s="127"/>
      <c r="X4" s="127"/>
      <c r="Y4" s="137" t="s">
        <v>1108</v>
      </c>
      <c r="Z4" s="137"/>
      <c r="AA4" s="137" t="s">
        <v>1109</v>
      </c>
      <c r="AB4" s="137"/>
      <c r="AC4" s="138" t="s">
        <v>1110</v>
      </c>
      <c r="AD4" s="139"/>
      <c r="AE4" s="140" t="s">
        <v>1108</v>
      </c>
      <c r="AF4" s="140"/>
      <c r="AG4" s="140" t="s">
        <v>1109</v>
      </c>
      <c r="AH4" s="140"/>
      <c r="AI4" s="146" t="s">
        <v>1110</v>
      </c>
      <c r="AJ4" s="147"/>
      <c r="AK4" s="148" t="s">
        <v>1108</v>
      </c>
      <c r="AL4" s="148"/>
      <c r="AM4" s="148" t="s">
        <v>1109</v>
      </c>
      <c r="AN4" s="148"/>
      <c r="AO4" s="151" t="s">
        <v>1110</v>
      </c>
      <c r="AP4" s="152"/>
    </row>
    <row r="5" ht="36" spans="1:42">
      <c r="A5" s="58"/>
      <c r="B5" s="58"/>
      <c r="C5" s="56" t="s">
        <v>1117</v>
      </c>
      <c r="D5" s="56" t="s">
        <v>1118</v>
      </c>
      <c r="E5" s="56" t="s">
        <v>1133</v>
      </c>
      <c r="F5" s="56" t="s">
        <v>1134</v>
      </c>
      <c r="G5" s="56" t="s">
        <v>1135</v>
      </c>
      <c r="H5" s="104" t="s">
        <v>1116</v>
      </c>
      <c r="I5" s="71" t="s">
        <v>1117</v>
      </c>
      <c r="J5" s="71" t="s">
        <v>1118</v>
      </c>
      <c r="K5" s="71" t="s">
        <v>1133</v>
      </c>
      <c r="L5" s="71" t="s">
        <v>1134</v>
      </c>
      <c r="M5" s="71" t="s">
        <v>1135</v>
      </c>
      <c r="N5" s="71" t="s">
        <v>1116</v>
      </c>
      <c r="O5" s="115" t="s">
        <v>1117</v>
      </c>
      <c r="P5" s="115" t="s">
        <v>1118</v>
      </c>
      <c r="Q5" s="115" t="s">
        <v>1133</v>
      </c>
      <c r="R5" s="115" t="s">
        <v>1134</v>
      </c>
      <c r="S5" s="115" t="s">
        <v>1135</v>
      </c>
      <c r="T5" s="129" t="s">
        <v>1116</v>
      </c>
      <c r="U5" s="84"/>
      <c r="W5" s="127"/>
      <c r="X5" s="127"/>
      <c r="Y5" s="127" t="s">
        <v>1117</v>
      </c>
      <c r="Z5" s="127" t="s">
        <v>1118</v>
      </c>
      <c r="AA5" s="127" t="s">
        <v>1117</v>
      </c>
      <c r="AB5" s="127" t="s">
        <v>1118</v>
      </c>
      <c r="AC5" s="141" t="s">
        <v>1119</v>
      </c>
      <c r="AD5" s="141" t="s">
        <v>1120</v>
      </c>
      <c r="AE5" s="142" t="s">
        <v>1117</v>
      </c>
      <c r="AF5" s="142" t="s">
        <v>1118</v>
      </c>
      <c r="AG5" s="142" t="s">
        <v>1117</v>
      </c>
      <c r="AH5" s="142" t="s">
        <v>1118</v>
      </c>
      <c r="AI5" s="149" t="s">
        <v>1119</v>
      </c>
      <c r="AJ5" s="149" t="s">
        <v>1120</v>
      </c>
      <c r="AK5" s="150" t="s">
        <v>1117</v>
      </c>
      <c r="AL5" s="150" t="s">
        <v>1118</v>
      </c>
      <c r="AM5" s="150" t="s">
        <v>1117</v>
      </c>
      <c r="AN5" s="150" t="s">
        <v>1118</v>
      </c>
      <c r="AO5" s="153" t="s">
        <v>1119</v>
      </c>
      <c r="AP5" s="153" t="s">
        <v>1120</v>
      </c>
    </row>
    <row r="6" spans="1:42">
      <c r="A6" s="59"/>
      <c r="B6" s="60" t="s">
        <v>1121</v>
      </c>
      <c r="C6" s="59">
        <f>I6+O6</f>
        <v>472</v>
      </c>
      <c r="D6" s="59" t="e">
        <f>J6+P6</f>
        <v>#REF!</v>
      </c>
      <c r="E6" s="59">
        <f>K6+Q6</f>
        <v>472</v>
      </c>
      <c r="F6" s="59">
        <f>L6+R6</f>
        <v>376</v>
      </c>
      <c r="G6" s="59" t="e">
        <f>M6+S6</f>
        <v>#REF!</v>
      </c>
      <c r="H6" s="105" t="e">
        <f>IF(D6=0,"-",ROUND(G6/D6,3))</f>
        <v>#REF!</v>
      </c>
      <c r="I6" s="117">
        <f>SUM(I7:I17)</f>
        <v>235</v>
      </c>
      <c r="J6" s="117">
        <f>SUM(J7:J17)</f>
        <v>237948.7849</v>
      </c>
      <c r="K6" s="117">
        <f>SUM(K7:K17)</f>
        <v>235</v>
      </c>
      <c r="L6" s="117">
        <f>SUM(L7:L17)</f>
        <v>210</v>
      </c>
      <c r="M6" s="117">
        <f>SUM(M7:M17)</f>
        <v>210970.9308</v>
      </c>
      <c r="N6" s="118">
        <f>IF(J6=0,"-",ROUND(M6/J6,3))</f>
        <v>0.887</v>
      </c>
      <c r="O6" s="119">
        <f>SUM(O7:O17)</f>
        <v>237</v>
      </c>
      <c r="P6" s="119" t="e">
        <f>SUM(P7:P17)</f>
        <v>#REF!</v>
      </c>
      <c r="Q6" s="119">
        <f>SUM(Q7:Q17)</f>
        <v>237</v>
      </c>
      <c r="R6" s="119">
        <f>SUM(R7:R17)</f>
        <v>166</v>
      </c>
      <c r="S6" s="119" t="e">
        <f>SUM(S7:S17)</f>
        <v>#REF!</v>
      </c>
      <c r="T6" s="130" t="e">
        <f>IF(P6=0,"-",ROUND(S6/P6,3))</f>
        <v>#REF!</v>
      </c>
      <c r="U6" s="85"/>
      <c r="W6" s="127"/>
      <c r="X6" s="127" t="s">
        <v>1121</v>
      </c>
      <c r="Y6" s="127">
        <v>435</v>
      </c>
      <c r="Z6" s="127">
        <v>1254233.0672</v>
      </c>
      <c r="AA6" s="127">
        <v>435</v>
      </c>
      <c r="AB6" s="127">
        <v>1223376.9672</v>
      </c>
      <c r="AC6" s="141">
        <f>Y6-AA6</f>
        <v>0</v>
      </c>
      <c r="AD6" s="141">
        <f>Z6-AB6</f>
        <v>30856.0999999999</v>
      </c>
      <c r="AE6" s="142">
        <v>227</v>
      </c>
      <c r="AF6" s="142">
        <v>257364.8849</v>
      </c>
      <c r="AG6" s="142">
        <v>227</v>
      </c>
      <c r="AH6" s="142">
        <v>226193.7849</v>
      </c>
      <c r="AI6" s="149">
        <f>AE6-AG6</f>
        <v>0</v>
      </c>
      <c r="AJ6" s="149">
        <f>AF6-AH6</f>
        <v>31171.1</v>
      </c>
      <c r="AK6" s="150">
        <v>208</v>
      </c>
      <c r="AL6" s="150">
        <v>996868.1823</v>
      </c>
      <c r="AM6" s="150">
        <v>208</v>
      </c>
      <c r="AN6" s="150">
        <v>997183.1823</v>
      </c>
      <c r="AO6" s="153">
        <f>AK6-AM6</f>
        <v>0</v>
      </c>
      <c r="AP6" s="153">
        <f>AL6-AN6</f>
        <v>-315</v>
      </c>
    </row>
    <row r="7" spans="1:42">
      <c r="A7" s="59">
        <v>1</v>
      </c>
      <c r="B7" s="63" t="s">
        <v>132</v>
      </c>
      <c r="C7" s="64">
        <f t="shared" ref="C7:G12" si="0">I7+O7</f>
        <v>32</v>
      </c>
      <c r="D7" s="64">
        <f t="shared" si="0"/>
        <v>154067.74</v>
      </c>
      <c r="E7" s="64">
        <f t="shared" si="0"/>
        <v>32</v>
      </c>
      <c r="F7" s="64">
        <f t="shared" si="0"/>
        <v>15</v>
      </c>
      <c r="G7" s="64">
        <f t="shared" si="0"/>
        <v>114092.71</v>
      </c>
      <c r="H7" s="105">
        <f t="shared" ref="H7:H12" si="1">IF(D7=0,"-",ROUND(G7/D7,3))</f>
        <v>0.741</v>
      </c>
      <c r="I7" s="65">
        <f>兰考!I3</f>
        <v>5</v>
      </c>
      <c r="J7" s="120">
        <f>兰考!J3</f>
        <v>17794.39</v>
      </c>
      <c r="K7" s="65">
        <f>兰考!K3</f>
        <v>5</v>
      </c>
      <c r="L7" s="65">
        <f>兰考!L3</f>
        <v>5</v>
      </c>
      <c r="M7" s="120">
        <f>兰考!M3</f>
        <v>17794.39</v>
      </c>
      <c r="N7" s="118">
        <f t="shared" ref="N7:N17" si="2">IF(J7=0,"-",ROUND(M7/J7,3))</f>
        <v>1</v>
      </c>
      <c r="O7" s="121">
        <f>兰考!P3</f>
        <v>27</v>
      </c>
      <c r="P7" s="122">
        <f>兰考!Q3</f>
        <v>136273.35</v>
      </c>
      <c r="Q7" s="121">
        <f>兰考!R3</f>
        <v>27</v>
      </c>
      <c r="R7" s="121">
        <f>兰考!S3</f>
        <v>10</v>
      </c>
      <c r="S7" s="122">
        <f>兰考!T3</f>
        <v>96298.32</v>
      </c>
      <c r="T7" s="130">
        <f t="shared" ref="T7:T17" si="3">IF(P7=0,"-",ROUND(S7/P7,3))</f>
        <v>0.707</v>
      </c>
      <c r="U7" s="86"/>
      <c r="W7" s="127">
        <v>1</v>
      </c>
      <c r="X7" s="127" t="s">
        <v>132</v>
      </c>
      <c r="Y7" s="127">
        <v>24</v>
      </c>
      <c r="Z7" s="127">
        <v>136334.74</v>
      </c>
      <c r="AA7" s="127">
        <v>24</v>
      </c>
      <c r="AB7" s="127">
        <v>136334.74</v>
      </c>
      <c r="AC7" s="141">
        <f t="shared" ref="AC7:AD12" si="4">Y7-AA7</f>
        <v>0</v>
      </c>
      <c r="AD7" s="141">
        <f t="shared" si="4"/>
        <v>0</v>
      </c>
      <c r="AE7" s="142">
        <v>5</v>
      </c>
      <c r="AF7" s="142">
        <v>17794.39</v>
      </c>
      <c r="AG7" s="142">
        <v>5</v>
      </c>
      <c r="AH7" s="142">
        <v>17794.39</v>
      </c>
      <c r="AI7" s="149">
        <f t="shared" ref="AI7:AJ12" si="5">AE7-AG7</f>
        <v>0</v>
      </c>
      <c r="AJ7" s="149">
        <f t="shared" si="5"/>
        <v>0</v>
      </c>
      <c r="AK7" s="150">
        <v>19</v>
      </c>
      <c r="AL7" s="150">
        <v>118540.35</v>
      </c>
      <c r="AM7" s="150">
        <v>19</v>
      </c>
      <c r="AN7" s="150">
        <v>118540.35</v>
      </c>
      <c r="AO7" s="153">
        <f t="shared" ref="AO7:AP12" si="6">AK7-AM7</f>
        <v>0</v>
      </c>
      <c r="AP7" s="153">
        <f t="shared" si="6"/>
        <v>0</v>
      </c>
    </row>
    <row r="8" spans="1:42">
      <c r="A8" s="59">
        <v>2</v>
      </c>
      <c r="B8" s="63" t="s">
        <v>33</v>
      </c>
      <c r="C8" s="64">
        <f t="shared" si="0"/>
        <v>28</v>
      </c>
      <c r="D8" s="64">
        <f t="shared" si="0"/>
        <v>78160.64</v>
      </c>
      <c r="E8" s="64">
        <f t="shared" si="0"/>
        <v>28</v>
      </c>
      <c r="F8" s="64">
        <f t="shared" si="0"/>
        <v>18</v>
      </c>
      <c r="G8" s="64">
        <f t="shared" si="0"/>
        <v>64312.64</v>
      </c>
      <c r="H8" s="105">
        <f t="shared" si="1"/>
        <v>0.823</v>
      </c>
      <c r="I8" s="65">
        <f>杞县!I3</f>
        <v>20</v>
      </c>
      <c r="J8" s="120">
        <f>杞县!J3</f>
        <v>51892.64</v>
      </c>
      <c r="K8" s="65">
        <f>杞县!K3</f>
        <v>20</v>
      </c>
      <c r="L8" s="65">
        <f>杞县!L3</f>
        <v>13</v>
      </c>
      <c r="M8" s="120">
        <f>杞县!M3</f>
        <v>43400.64</v>
      </c>
      <c r="N8" s="118">
        <f t="shared" si="2"/>
        <v>0.836</v>
      </c>
      <c r="O8" s="121">
        <f>杞县!P3</f>
        <v>8</v>
      </c>
      <c r="P8" s="122">
        <f>杞县!Q3</f>
        <v>26268</v>
      </c>
      <c r="Q8" s="121">
        <f>杞县!R3</f>
        <v>8</v>
      </c>
      <c r="R8" s="121">
        <f>杞县!S3</f>
        <v>5</v>
      </c>
      <c r="S8" s="122">
        <f>杞县!T3</f>
        <v>20912</v>
      </c>
      <c r="T8" s="130">
        <f t="shared" si="3"/>
        <v>0.796</v>
      </c>
      <c r="U8" s="86"/>
      <c r="W8" s="127">
        <v>2</v>
      </c>
      <c r="X8" s="127" t="s">
        <v>33</v>
      </c>
      <c r="Y8" s="127">
        <v>25</v>
      </c>
      <c r="Z8" s="127">
        <v>76845.64</v>
      </c>
      <c r="AA8" s="127">
        <v>25</v>
      </c>
      <c r="AB8" s="127">
        <v>76845.64</v>
      </c>
      <c r="AC8" s="141">
        <f t="shared" si="4"/>
        <v>0</v>
      </c>
      <c r="AD8" s="141">
        <f t="shared" si="4"/>
        <v>0</v>
      </c>
      <c r="AE8" s="142">
        <v>20</v>
      </c>
      <c r="AF8" s="142">
        <v>51892.64</v>
      </c>
      <c r="AG8" s="142">
        <v>20</v>
      </c>
      <c r="AH8" s="142">
        <v>51892.64</v>
      </c>
      <c r="AI8" s="149">
        <f t="shared" si="5"/>
        <v>0</v>
      </c>
      <c r="AJ8" s="149">
        <f t="shared" si="5"/>
        <v>0</v>
      </c>
      <c r="AK8" s="150">
        <v>5</v>
      </c>
      <c r="AL8" s="150">
        <v>24953</v>
      </c>
      <c r="AM8" s="150">
        <v>5</v>
      </c>
      <c r="AN8" s="150">
        <v>24953</v>
      </c>
      <c r="AO8" s="153">
        <f t="shared" si="6"/>
        <v>0</v>
      </c>
      <c r="AP8" s="153">
        <f t="shared" si="6"/>
        <v>0</v>
      </c>
    </row>
    <row r="9" spans="1:42">
      <c r="A9" s="59">
        <v>3</v>
      </c>
      <c r="B9" s="63" t="s">
        <v>36</v>
      </c>
      <c r="C9" s="64">
        <f t="shared" si="0"/>
        <v>71</v>
      </c>
      <c r="D9" s="64">
        <f t="shared" si="0"/>
        <v>125833.7701</v>
      </c>
      <c r="E9" s="64">
        <f t="shared" si="0"/>
        <v>71</v>
      </c>
      <c r="F9" s="64">
        <f t="shared" si="0"/>
        <v>60</v>
      </c>
      <c r="G9" s="64">
        <f t="shared" si="0"/>
        <v>75250.866</v>
      </c>
      <c r="H9" s="105">
        <f t="shared" si="1"/>
        <v>0.598</v>
      </c>
      <c r="I9" s="65">
        <f>通许!I3</f>
        <v>38</v>
      </c>
      <c r="J9" s="120">
        <f>通许!J3</f>
        <v>12891.046</v>
      </c>
      <c r="K9" s="65">
        <f>通许!K3</f>
        <v>38</v>
      </c>
      <c r="L9" s="65">
        <f>通许!L3</f>
        <v>37</v>
      </c>
      <c r="M9" s="120">
        <f>通许!M3</f>
        <v>11009.046</v>
      </c>
      <c r="N9" s="118">
        <f t="shared" si="2"/>
        <v>0.854</v>
      </c>
      <c r="O9" s="121">
        <f>通许!P3</f>
        <v>33</v>
      </c>
      <c r="P9" s="122">
        <f>通许!Q3</f>
        <v>112942.7241</v>
      </c>
      <c r="Q9" s="121">
        <f>通许!R3</f>
        <v>33</v>
      </c>
      <c r="R9" s="121">
        <f>通许!S3</f>
        <v>23</v>
      </c>
      <c r="S9" s="122">
        <f>通许!T3</f>
        <v>64241.82</v>
      </c>
      <c r="T9" s="130">
        <f t="shared" si="3"/>
        <v>0.569</v>
      </c>
      <c r="U9" s="86"/>
      <c r="W9" s="127">
        <v>3</v>
      </c>
      <c r="X9" s="127" t="s">
        <v>36</v>
      </c>
      <c r="Y9" s="127">
        <v>67</v>
      </c>
      <c r="Z9" s="127">
        <v>121335.2901</v>
      </c>
      <c r="AA9" s="127">
        <v>67</v>
      </c>
      <c r="AB9" s="127">
        <v>121335.2901</v>
      </c>
      <c r="AC9" s="141">
        <f t="shared" si="4"/>
        <v>0</v>
      </c>
      <c r="AD9" s="141">
        <f t="shared" si="4"/>
        <v>0</v>
      </c>
      <c r="AE9" s="142">
        <v>38</v>
      </c>
      <c r="AF9" s="142">
        <v>12891.046</v>
      </c>
      <c r="AG9" s="142">
        <v>38</v>
      </c>
      <c r="AH9" s="142">
        <v>12891.046</v>
      </c>
      <c r="AI9" s="149">
        <f t="shared" si="5"/>
        <v>0</v>
      </c>
      <c r="AJ9" s="149">
        <f t="shared" si="5"/>
        <v>0</v>
      </c>
      <c r="AK9" s="150">
        <v>29</v>
      </c>
      <c r="AL9" s="150">
        <v>108444.2441</v>
      </c>
      <c r="AM9" s="150">
        <v>29</v>
      </c>
      <c r="AN9" s="150">
        <v>108444.2441</v>
      </c>
      <c r="AO9" s="153">
        <f t="shared" si="6"/>
        <v>0</v>
      </c>
      <c r="AP9" s="153">
        <f t="shared" si="6"/>
        <v>0</v>
      </c>
    </row>
    <row r="10" spans="1:42">
      <c r="A10" s="59">
        <v>4</v>
      </c>
      <c r="B10" s="63" t="s">
        <v>39</v>
      </c>
      <c r="C10" s="64">
        <f t="shared" si="0"/>
        <v>177</v>
      </c>
      <c r="D10" s="64">
        <f t="shared" si="0"/>
        <v>78688.0302</v>
      </c>
      <c r="E10" s="64">
        <f t="shared" si="0"/>
        <v>177</v>
      </c>
      <c r="F10" s="64">
        <f t="shared" si="0"/>
        <v>161</v>
      </c>
      <c r="G10" s="64">
        <f t="shared" si="0"/>
        <v>72267.3761</v>
      </c>
      <c r="H10" s="105">
        <f t="shared" si="1"/>
        <v>0.918</v>
      </c>
      <c r="I10" s="65">
        <f>尉氏!I3</f>
        <v>94</v>
      </c>
      <c r="J10" s="120">
        <f>尉氏!J3</f>
        <v>71010.13</v>
      </c>
      <c r="K10" s="65">
        <f>尉氏!K3</f>
        <v>94</v>
      </c>
      <c r="L10" s="65">
        <f>尉氏!L3</f>
        <v>81</v>
      </c>
      <c r="M10" s="120">
        <f>尉氏!M3</f>
        <v>65361.2759</v>
      </c>
      <c r="N10" s="118">
        <f t="shared" si="2"/>
        <v>0.92</v>
      </c>
      <c r="O10" s="121">
        <f>尉氏!P3</f>
        <v>83</v>
      </c>
      <c r="P10" s="122">
        <f>尉氏!Q3</f>
        <v>7677.9002</v>
      </c>
      <c r="Q10" s="121">
        <f>尉氏!R3</f>
        <v>83</v>
      </c>
      <c r="R10" s="121">
        <f>尉氏!S3</f>
        <v>80</v>
      </c>
      <c r="S10" s="122">
        <f>尉氏!T3</f>
        <v>6906.1002</v>
      </c>
      <c r="T10" s="130">
        <f t="shared" si="3"/>
        <v>0.899</v>
      </c>
      <c r="U10" s="86"/>
      <c r="W10" s="127">
        <v>4</v>
      </c>
      <c r="X10" s="127" t="s">
        <v>39</v>
      </c>
      <c r="Y10" s="127">
        <v>170</v>
      </c>
      <c r="Z10" s="127">
        <v>69894.3302</v>
      </c>
      <c r="AA10" s="127">
        <v>170</v>
      </c>
      <c r="AB10" s="127">
        <v>69723.2302</v>
      </c>
      <c r="AC10" s="141">
        <f t="shared" si="4"/>
        <v>0</v>
      </c>
      <c r="AD10" s="141">
        <f t="shared" si="4"/>
        <v>171.099999999991</v>
      </c>
      <c r="AE10" s="142">
        <v>92</v>
      </c>
      <c r="AF10" s="142">
        <v>65009.23</v>
      </c>
      <c r="AG10" s="142">
        <v>92</v>
      </c>
      <c r="AH10" s="142">
        <v>64838.13</v>
      </c>
      <c r="AI10" s="149">
        <f t="shared" si="5"/>
        <v>0</v>
      </c>
      <c r="AJ10" s="149">
        <f t="shared" si="5"/>
        <v>171.100000000006</v>
      </c>
      <c r="AK10" s="150">
        <v>78</v>
      </c>
      <c r="AL10" s="150">
        <v>4885.1002</v>
      </c>
      <c r="AM10" s="150">
        <v>78</v>
      </c>
      <c r="AN10" s="150">
        <v>4885.1002</v>
      </c>
      <c r="AO10" s="153">
        <f t="shared" si="6"/>
        <v>0</v>
      </c>
      <c r="AP10" s="153">
        <f t="shared" si="6"/>
        <v>0</v>
      </c>
    </row>
    <row r="11" spans="1:42">
      <c r="A11" s="59">
        <v>5</v>
      </c>
      <c r="B11" s="63" t="s">
        <v>42</v>
      </c>
      <c r="C11" s="64">
        <f>I11+O11</f>
        <v>86</v>
      </c>
      <c r="D11" s="64">
        <f>J11+P11</f>
        <v>517363.4429</v>
      </c>
      <c r="E11" s="64">
        <f>K11+Q11</f>
        <v>86</v>
      </c>
      <c r="F11" s="64">
        <f>L11+R11</f>
        <v>69</v>
      </c>
      <c r="G11" s="64">
        <f>M11+S11</f>
        <v>468627.2529</v>
      </c>
      <c r="H11" s="105">
        <f t="shared" si="1"/>
        <v>0.906</v>
      </c>
      <c r="I11" s="65">
        <f>祥符!I3</f>
        <v>48</v>
      </c>
      <c r="J11" s="120">
        <f>祥符!J3</f>
        <v>68545.5049</v>
      </c>
      <c r="K11" s="65">
        <f>祥符!K3</f>
        <v>48</v>
      </c>
      <c r="L11" s="65">
        <f>祥符!L3</f>
        <v>45</v>
      </c>
      <c r="M11" s="120">
        <f>祥符!M3</f>
        <v>57827.5049</v>
      </c>
      <c r="N11" s="118">
        <f t="shared" si="2"/>
        <v>0.844</v>
      </c>
      <c r="O11" s="121">
        <f>祥符!P3</f>
        <v>38</v>
      </c>
      <c r="P11" s="122">
        <f>祥符!Q3</f>
        <v>448817.938</v>
      </c>
      <c r="Q11" s="121">
        <f>祥符!R3</f>
        <v>38</v>
      </c>
      <c r="R11" s="121">
        <f>祥符!S3</f>
        <v>24</v>
      </c>
      <c r="S11" s="122">
        <f>祥符!T3</f>
        <v>410799.748</v>
      </c>
      <c r="T11" s="130">
        <f t="shared" si="3"/>
        <v>0.915</v>
      </c>
      <c r="U11" s="85"/>
      <c r="W11" s="127">
        <v>5</v>
      </c>
      <c r="X11" s="127" t="s">
        <v>140</v>
      </c>
      <c r="Y11" s="127">
        <v>6</v>
      </c>
      <c r="Z11" s="127">
        <v>37831</v>
      </c>
      <c r="AA11" s="127">
        <v>6</v>
      </c>
      <c r="AB11" s="127">
        <v>37831</v>
      </c>
      <c r="AC11" s="141">
        <f t="shared" si="4"/>
        <v>0</v>
      </c>
      <c r="AD11" s="141">
        <f t="shared" si="4"/>
        <v>0</v>
      </c>
      <c r="AE11" s="142">
        <v>1</v>
      </c>
      <c r="AF11" s="142">
        <v>300</v>
      </c>
      <c r="AG11" s="142">
        <v>1</v>
      </c>
      <c r="AH11" s="142">
        <v>300</v>
      </c>
      <c r="AI11" s="149">
        <f t="shared" si="5"/>
        <v>0</v>
      </c>
      <c r="AJ11" s="149">
        <f t="shared" si="5"/>
        <v>0</v>
      </c>
      <c r="AK11" s="150">
        <v>5</v>
      </c>
      <c r="AL11" s="150">
        <v>37531</v>
      </c>
      <c r="AM11" s="150">
        <v>5</v>
      </c>
      <c r="AN11" s="150">
        <v>37531</v>
      </c>
      <c r="AO11" s="153">
        <f t="shared" si="6"/>
        <v>0</v>
      </c>
      <c r="AP11" s="153">
        <f t="shared" si="6"/>
        <v>0</v>
      </c>
    </row>
    <row r="12" ht="24" spans="1:42">
      <c r="A12" s="59">
        <v>6</v>
      </c>
      <c r="B12" s="106" t="s">
        <v>140</v>
      </c>
      <c r="C12" s="64">
        <f t="shared" si="0"/>
        <v>8</v>
      </c>
      <c r="D12" s="64">
        <f t="shared" si="0"/>
        <v>38714</v>
      </c>
      <c r="E12" s="64">
        <f t="shared" si="0"/>
        <v>8</v>
      </c>
      <c r="F12" s="64">
        <f t="shared" si="0"/>
        <v>6</v>
      </c>
      <c r="G12" s="64">
        <f t="shared" si="0"/>
        <v>37401</v>
      </c>
      <c r="H12" s="105">
        <f t="shared" si="1"/>
        <v>0.966</v>
      </c>
      <c r="I12" s="123">
        <f>示范区!I3</f>
        <v>1</v>
      </c>
      <c r="J12" s="120">
        <f>示范区!J3</f>
        <v>300</v>
      </c>
      <c r="K12" s="123">
        <f>示范区!K3</f>
        <v>1</v>
      </c>
      <c r="L12" s="123">
        <f>示范区!L3</f>
        <v>1</v>
      </c>
      <c r="M12" s="120">
        <f>示范区!M3</f>
        <v>300</v>
      </c>
      <c r="N12" s="118">
        <f t="shared" si="2"/>
        <v>1</v>
      </c>
      <c r="O12" s="121">
        <f>示范区!P3</f>
        <v>7</v>
      </c>
      <c r="P12" s="122">
        <f>示范区!Q3</f>
        <v>38414</v>
      </c>
      <c r="Q12" s="121">
        <f>示范区!R3</f>
        <v>7</v>
      </c>
      <c r="R12" s="121">
        <f>示范区!S3</f>
        <v>5</v>
      </c>
      <c r="S12" s="122">
        <f>示范区!T3</f>
        <v>37101</v>
      </c>
      <c r="T12" s="130">
        <f t="shared" si="3"/>
        <v>0.966</v>
      </c>
      <c r="U12" s="86"/>
      <c r="W12" s="127">
        <v>6</v>
      </c>
      <c r="X12" s="127" t="s">
        <v>42</v>
      </c>
      <c r="Y12" s="127">
        <v>83</v>
      </c>
      <c r="Z12" s="127">
        <v>516145.4429</v>
      </c>
      <c r="AA12" s="127">
        <v>83</v>
      </c>
      <c r="AB12" s="127">
        <v>516145.4429</v>
      </c>
      <c r="AC12" s="141">
        <f t="shared" si="4"/>
        <v>0</v>
      </c>
      <c r="AD12" s="141">
        <f t="shared" si="4"/>
        <v>0</v>
      </c>
      <c r="AE12" s="142">
        <v>47</v>
      </c>
      <c r="AF12" s="142">
        <v>66822.5049</v>
      </c>
      <c r="AG12" s="142">
        <v>47</v>
      </c>
      <c r="AH12" s="142">
        <v>66822.5049</v>
      </c>
      <c r="AI12" s="149">
        <f t="shared" si="5"/>
        <v>0</v>
      </c>
      <c r="AJ12" s="149">
        <f t="shared" si="5"/>
        <v>0</v>
      </c>
      <c r="AK12" s="150">
        <v>36</v>
      </c>
      <c r="AL12" s="150">
        <v>449322.938</v>
      </c>
      <c r="AM12" s="150">
        <v>36</v>
      </c>
      <c r="AN12" s="150">
        <v>449322.938</v>
      </c>
      <c r="AO12" s="153">
        <f t="shared" si="6"/>
        <v>0</v>
      </c>
      <c r="AP12" s="153">
        <f t="shared" si="6"/>
        <v>0</v>
      </c>
    </row>
    <row r="13" spans="1:42">
      <c r="A13" s="59">
        <v>7</v>
      </c>
      <c r="B13" s="106" t="s">
        <v>1085</v>
      </c>
      <c r="C13" s="64">
        <f t="shared" ref="C13" si="7">I13+O13</f>
        <v>1</v>
      </c>
      <c r="D13" s="64">
        <f t="shared" ref="D13" si="8">J13+P13</f>
        <v>1009.67</v>
      </c>
      <c r="E13" s="64">
        <f t="shared" ref="E13" si="9">K13+Q13</f>
        <v>1</v>
      </c>
      <c r="F13" s="64">
        <f t="shared" ref="F13" si="10">L13+R13</f>
        <v>0</v>
      </c>
      <c r="G13" s="64">
        <f t="shared" ref="G13" si="11">M13+S13</f>
        <v>500</v>
      </c>
      <c r="H13" s="105">
        <f t="shared" ref="H13:H17" si="12">IF(D13=0,"-",ROUND(G13/D13,3))</f>
        <v>0.495</v>
      </c>
      <c r="I13" s="123">
        <f>鼓楼!I3</f>
        <v>0</v>
      </c>
      <c r="J13" s="123">
        <f>鼓楼!J3</f>
        <v>0</v>
      </c>
      <c r="K13" s="123">
        <f>鼓楼!K3</f>
        <v>0</v>
      </c>
      <c r="L13" s="123">
        <f>鼓楼!L3</f>
        <v>0</v>
      </c>
      <c r="M13" s="123">
        <f>鼓楼!M3</f>
        <v>0</v>
      </c>
      <c r="N13" s="118" t="str">
        <f t="shared" si="2"/>
        <v>-</v>
      </c>
      <c r="O13" s="121">
        <f>鼓楼!P3</f>
        <v>1</v>
      </c>
      <c r="P13" s="121">
        <f>鼓楼!Q3</f>
        <v>1009.67</v>
      </c>
      <c r="Q13" s="121">
        <f>鼓楼!R3</f>
        <v>1</v>
      </c>
      <c r="R13" s="121">
        <f>鼓楼!S3</f>
        <v>0</v>
      </c>
      <c r="S13" s="121">
        <f>鼓楼!T3</f>
        <v>500</v>
      </c>
      <c r="T13" s="130">
        <f t="shared" si="3"/>
        <v>0.495</v>
      </c>
      <c r="U13" s="86"/>
      <c r="W13" s="127"/>
      <c r="X13" s="127"/>
      <c r="Y13" s="127"/>
      <c r="Z13" s="127"/>
      <c r="AA13" s="127"/>
      <c r="AB13" s="127"/>
      <c r="AC13" s="141"/>
      <c r="AD13" s="141"/>
      <c r="AE13" s="142"/>
      <c r="AF13" s="142"/>
      <c r="AG13" s="142"/>
      <c r="AH13" s="142"/>
      <c r="AI13" s="149"/>
      <c r="AJ13" s="149"/>
      <c r="AK13" s="150"/>
      <c r="AL13" s="150"/>
      <c r="AM13" s="150"/>
      <c r="AN13" s="150"/>
      <c r="AO13" s="153"/>
      <c r="AP13" s="153"/>
    </row>
    <row r="14" spans="1:42">
      <c r="A14" s="59">
        <v>8</v>
      </c>
      <c r="B14" s="63" t="s">
        <v>51</v>
      </c>
      <c r="C14" s="64">
        <f t="shared" ref="C14:G17" si="13">I14+O14</f>
        <v>5</v>
      </c>
      <c r="D14" s="64" t="e">
        <f t="shared" si="13"/>
        <v>#REF!</v>
      </c>
      <c r="E14" s="64">
        <f t="shared" si="13"/>
        <v>5</v>
      </c>
      <c r="F14" s="64">
        <f t="shared" si="13"/>
        <v>5</v>
      </c>
      <c r="G14" s="64" t="e">
        <f t="shared" si="13"/>
        <v>#REF!</v>
      </c>
      <c r="H14" s="105" t="e">
        <f t="shared" si="12"/>
        <v>#REF!</v>
      </c>
      <c r="I14" s="65">
        <f>龙亭!I3</f>
        <v>4</v>
      </c>
      <c r="J14" s="120">
        <f>龙亭!J3</f>
        <v>1118.934</v>
      </c>
      <c r="K14" s="65">
        <f>龙亭!K3</f>
        <v>4</v>
      </c>
      <c r="L14" s="65">
        <f>龙亭!L3</f>
        <v>4</v>
      </c>
      <c r="M14" s="120">
        <f>龙亭!M3</f>
        <v>1118.934</v>
      </c>
      <c r="N14" s="118">
        <f t="shared" si="2"/>
        <v>1</v>
      </c>
      <c r="O14" s="121">
        <f>龙亭!P3</f>
        <v>1</v>
      </c>
      <c r="P14" s="122" t="e">
        <f>龙亭!Q3</f>
        <v>#REF!</v>
      </c>
      <c r="Q14" s="121">
        <f>龙亭!R3</f>
        <v>1</v>
      </c>
      <c r="R14" s="121">
        <f>龙亭!S3</f>
        <v>1</v>
      </c>
      <c r="S14" s="122" t="e">
        <f>龙亭!T3</f>
        <v>#REF!</v>
      </c>
      <c r="T14" s="130" t="e">
        <f t="shared" si="3"/>
        <v>#REF!</v>
      </c>
      <c r="U14" s="86"/>
      <c r="W14" s="127">
        <v>7</v>
      </c>
      <c r="X14" s="127" t="s">
        <v>51</v>
      </c>
      <c r="Y14" s="127">
        <v>6</v>
      </c>
      <c r="Z14" s="127">
        <v>2446.934</v>
      </c>
      <c r="AA14" s="127">
        <v>6</v>
      </c>
      <c r="AB14" s="127">
        <v>2446.934</v>
      </c>
      <c r="AC14" s="141">
        <f t="shared" ref="AC14:AD17" si="14">Y14-AA14</f>
        <v>0</v>
      </c>
      <c r="AD14" s="141">
        <f t="shared" si="14"/>
        <v>0</v>
      </c>
      <c r="AE14" s="142">
        <v>4</v>
      </c>
      <c r="AF14" s="142">
        <v>1118.934</v>
      </c>
      <c r="AG14" s="142">
        <v>4</v>
      </c>
      <c r="AH14" s="142">
        <v>1118.934</v>
      </c>
      <c r="AI14" s="149">
        <f t="shared" ref="AI14:AJ17" si="15">AE14-AG14</f>
        <v>0</v>
      </c>
      <c r="AJ14" s="149">
        <f t="shared" si="15"/>
        <v>0</v>
      </c>
      <c r="AK14" s="150">
        <v>2</v>
      </c>
      <c r="AL14" s="150">
        <v>1328</v>
      </c>
      <c r="AM14" s="150">
        <v>2</v>
      </c>
      <c r="AN14" s="150">
        <v>1328</v>
      </c>
      <c r="AO14" s="153">
        <f t="shared" ref="AO14:AP17" si="16">AK14-AM14</f>
        <v>0</v>
      </c>
      <c r="AP14" s="153">
        <f t="shared" si="16"/>
        <v>0</v>
      </c>
    </row>
    <row r="15" spans="1:42">
      <c r="A15" s="59">
        <v>9</v>
      </c>
      <c r="B15" s="63" t="s">
        <v>48</v>
      </c>
      <c r="C15" s="64">
        <f t="shared" si="13"/>
        <v>3</v>
      </c>
      <c r="D15" s="64">
        <f t="shared" si="13"/>
        <v>13576</v>
      </c>
      <c r="E15" s="64">
        <f t="shared" si="13"/>
        <v>3</v>
      </c>
      <c r="F15" s="64">
        <f t="shared" si="13"/>
        <v>1</v>
      </c>
      <c r="G15" s="64">
        <f t="shared" si="13"/>
        <v>13231</v>
      </c>
      <c r="H15" s="105">
        <f t="shared" si="12"/>
        <v>0.975</v>
      </c>
      <c r="I15" s="65">
        <f>顺河!I3</f>
        <v>1</v>
      </c>
      <c r="J15" s="120">
        <f>顺河!J3</f>
        <v>76</v>
      </c>
      <c r="K15" s="65">
        <f>顺河!K3</f>
        <v>1</v>
      </c>
      <c r="L15" s="65">
        <f>顺河!L3</f>
        <v>1</v>
      </c>
      <c r="M15" s="120">
        <f>顺河!M3</f>
        <v>76</v>
      </c>
      <c r="N15" s="118">
        <f t="shared" si="2"/>
        <v>1</v>
      </c>
      <c r="O15" s="121">
        <f>顺河!P3</f>
        <v>2</v>
      </c>
      <c r="P15" s="122">
        <f>顺河!Q3</f>
        <v>13500</v>
      </c>
      <c r="Q15" s="121">
        <f>顺河!R3</f>
        <v>2</v>
      </c>
      <c r="R15" s="121">
        <f>顺河!S3</f>
        <v>0</v>
      </c>
      <c r="S15" s="122">
        <f>顺河!T3</f>
        <v>13155</v>
      </c>
      <c r="T15" s="130">
        <f t="shared" si="3"/>
        <v>0.974</v>
      </c>
      <c r="U15" s="86"/>
      <c r="W15" s="127">
        <v>8</v>
      </c>
      <c r="X15" s="127" t="s">
        <v>48</v>
      </c>
      <c r="Y15" s="127">
        <v>3</v>
      </c>
      <c r="Z15" s="127">
        <v>13576</v>
      </c>
      <c r="AA15" s="127">
        <v>3</v>
      </c>
      <c r="AB15" s="127">
        <v>13576</v>
      </c>
      <c r="AC15" s="141">
        <f t="shared" si="14"/>
        <v>0</v>
      </c>
      <c r="AD15" s="141">
        <f t="shared" si="14"/>
        <v>0</v>
      </c>
      <c r="AE15" s="142">
        <v>1</v>
      </c>
      <c r="AF15" s="142">
        <v>76</v>
      </c>
      <c r="AG15" s="142">
        <v>1</v>
      </c>
      <c r="AH15" s="142">
        <v>76</v>
      </c>
      <c r="AI15" s="149">
        <f t="shared" si="15"/>
        <v>0</v>
      </c>
      <c r="AJ15" s="149">
        <f t="shared" si="15"/>
        <v>0</v>
      </c>
      <c r="AK15" s="150">
        <v>2</v>
      </c>
      <c r="AL15" s="150">
        <v>13500</v>
      </c>
      <c r="AM15" s="150">
        <v>2</v>
      </c>
      <c r="AN15" s="150">
        <v>13500</v>
      </c>
      <c r="AO15" s="153">
        <f t="shared" si="16"/>
        <v>0</v>
      </c>
      <c r="AP15" s="153">
        <f t="shared" si="16"/>
        <v>0</v>
      </c>
    </row>
    <row r="16" spans="1:42">
      <c r="A16" s="59">
        <v>10</v>
      </c>
      <c r="B16" s="63" t="s">
        <v>45</v>
      </c>
      <c r="C16" s="64">
        <f t="shared" si="13"/>
        <v>5</v>
      </c>
      <c r="D16" s="64">
        <f t="shared" si="13"/>
        <v>9579.3</v>
      </c>
      <c r="E16" s="64">
        <f t="shared" si="13"/>
        <v>5</v>
      </c>
      <c r="F16" s="64">
        <f t="shared" si="13"/>
        <v>3</v>
      </c>
      <c r="G16" s="64">
        <f t="shared" si="13"/>
        <v>5363.3</v>
      </c>
      <c r="H16" s="105">
        <f t="shared" si="12"/>
        <v>0.56</v>
      </c>
      <c r="I16" s="65">
        <f>禹王台!I3</f>
        <v>4</v>
      </c>
      <c r="J16" s="120">
        <f>禹王台!J3</f>
        <v>5579.3</v>
      </c>
      <c r="K16" s="65">
        <f>禹王台!K3</f>
        <v>4</v>
      </c>
      <c r="L16" s="65">
        <f>禹王台!L3</f>
        <v>3</v>
      </c>
      <c r="M16" s="120">
        <f>禹王台!M3</f>
        <v>5342.3</v>
      </c>
      <c r="N16" s="118">
        <f t="shared" si="2"/>
        <v>0.958</v>
      </c>
      <c r="O16" s="121">
        <f>禹王台!P3</f>
        <v>1</v>
      </c>
      <c r="P16" s="122">
        <f>禹王台!Q3</f>
        <v>4000</v>
      </c>
      <c r="Q16" s="121">
        <f>禹王台!R3</f>
        <v>1</v>
      </c>
      <c r="R16" s="121">
        <f>禹王台!S3</f>
        <v>0</v>
      </c>
      <c r="S16" s="122">
        <f>禹王台!T3</f>
        <v>21</v>
      </c>
      <c r="T16" s="130">
        <f t="shared" si="3"/>
        <v>0.005</v>
      </c>
      <c r="U16" s="86"/>
      <c r="W16" s="127">
        <v>9</v>
      </c>
      <c r="X16" s="127" t="s">
        <v>45</v>
      </c>
      <c r="Y16" s="127">
        <v>4</v>
      </c>
      <c r="Z16" s="127">
        <v>36579.3</v>
      </c>
      <c r="AA16" s="127">
        <v>4</v>
      </c>
      <c r="AB16" s="127">
        <v>5579.3</v>
      </c>
      <c r="AC16" s="141">
        <f t="shared" si="14"/>
        <v>0</v>
      </c>
      <c r="AD16" s="141">
        <f t="shared" si="14"/>
        <v>31000</v>
      </c>
      <c r="AE16" s="142">
        <v>4</v>
      </c>
      <c r="AF16" s="142">
        <v>36579.3</v>
      </c>
      <c r="AG16" s="142">
        <v>4</v>
      </c>
      <c r="AH16" s="142">
        <v>5579.3</v>
      </c>
      <c r="AI16" s="149">
        <f t="shared" si="15"/>
        <v>0</v>
      </c>
      <c r="AJ16" s="149">
        <f t="shared" si="15"/>
        <v>31000</v>
      </c>
      <c r="AK16" s="150">
        <v>0</v>
      </c>
      <c r="AL16" s="150">
        <v>0</v>
      </c>
      <c r="AM16" s="150">
        <v>0</v>
      </c>
      <c r="AN16" s="150">
        <v>0</v>
      </c>
      <c r="AO16" s="153">
        <f t="shared" si="16"/>
        <v>0</v>
      </c>
      <c r="AP16" s="153">
        <f t="shared" si="16"/>
        <v>0</v>
      </c>
    </row>
    <row r="17" spans="1:42">
      <c r="A17" s="59">
        <v>11</v>
      </c>
      <c r="B17" s="63" t="s">
        <v>66</v>
      </c>
      <c r="C17" s="64">
        <f t="shared" si="13"/>
        <v>56</v>
      </c>
      <c r="D17" s="64">
        <f t="shared" si="13"/>
        <v>326720.88</v>
      </c>
      <c r="E17" s="64">
        <f t="shared" si="13"/>
        <v>56</v>
      </c>
      <c r="F17" s="64">
        <f t="shared" si="13"/>
        <v>38</v>
      </c>
      <c r="G17" s="64">
        <f t="shared" si="13"/>
        <v>244545.42</v>
      </c>
      <c r="H17" s="105">
        <f t="shared" si="12"/>
        <v>0.748</v>
      </c>
      <c r="I17" s="65">
        <f>市本级!I3</f>
        <v>20</v>
      </c>
      <c r="J17" s="120">
        <f>市本级!J3</f>
        <v>8740.84</v>
      </c>
      <c r="K17" s="65">
        <f>市本级!K3</f>
        <v>20</v>
      </c>
      <c r="L17" s="65">
        <f>市本级!L3</f>
        <v>20</v>
      </c>
      <c r="M17" s="120">
        <f>市本级!M3</f>
        <v>8740.84</v>
      </c>
      <c r="N17" s="118">
        <f t="shared" si="2"/>
        <v>1</v>
      </c>
      <c r="O17" s="121">
        <f>市本级!P3</f>
        <v>36</v>
      </c>
      <c r="P17" s="122">
        <f>市本级!Q3</f>
        <v>317980.04</v>
      </c>
      <c r="Q17" s="121">
        <f>市本级!R3</f>
        <v>36</v>
      </c>
      <c r="R17" s="121">
        <f>市本级!S3</f>
        <v>18</v>
      </c>
      <c r="S17" s="122">
        <f>市本级!T3</f>
        <v>235804.58</v>
      </c>
      <c r="T17" s="130">
        <f t="shared" si="3"/>
        <v>0.742</v>
      </c>
      <c r="U17" s="86"/>
      <c r="W17" s="127">
        <v>10</v>
      </c>
      <c r="X17" s="127" t="s">
        <v>66</v>
      </c>
      <c r="Y17" s="127">
        <v>47</v>
      </c>
      <c r="Z17" s="127">
        <v>243244.39</v>
      </c>
      <c r="AA17" s="127">
        <v>47</v>
      </c>
      <c r="AB17" s="127">
        <v>243559.39</v>
      </c>
      <c r="AC17" s="141">
        <f t="shared" si="14"/>
        <v>0</v>
      </c>
      <c r="AD17" s="141">
        <f t="shared" si="14"/>
        <v>-315</v>
      </c>
      <c r="AE17" s="142">
        <v>15</v>
      </c>
      <c r="AF17" s="142">
        <v>4880.84</v>
      </c>
      <c r="AG17" s="142">
        <v>15</v>
      </c>
      <c r="AH17" s="142">
        <v>4880.84</v>
      </c>
      <c r="AI17" s="149">
        <f t="shared" si="15"/>
        <v>0</v>
      </c>
      <c r="AJ17" s="149">
        <f t="shared" si="15"/>
        <v>0</v>
      </c>
      <c r="AK17" s="150">
        <v>32</v>
      </c>
      <c r="AL17" s="150">
        <v>238363.55</v>
      </c>
      <c r="AM17" s="150">
        <v>32</v>
      </c>
      <c r="AN17" s="150">
        <v>238678.55</v>
      </c>
      <c r="AO17" s="153">
        <f t="shared" si="16"/>
        <v>0</v>
      </c>
      <c r="AP17" s="153">
        <f t="shared" si="16"/>
        <v>-315</v>
      </c>
    </row>
    <row r="20" ht="22.5" spans="1:21">
      <c r="A20" s="47" t="s">
        <v>1136</v>
      </c>
      <c r="B20" s="47"/>
      <c r="C20" s="47"/>
      <c r="D20" s="47"/>
      <c r="E20" s="47"/>
      <c r="F20" s="47"/>
      <c r="G20" s="47"/>
      <c r="H20" s="47"/>
      <c r="I20" s="47"/>
      <c r="J20" s="47"/>
      <c r="K20" s="47"/>
      <c r="L20" s="47"/>
      <c r="M20" s="47"/>
      <c r="N20" s="47"/>
      <c r="O20" s="47"/>
      <c r="P20" s="47"/>
      <c r="Q20" s="47"/>
      <c r="R20" s="47"/>
      <c r="S20" s="47"/>
      <c r="T20" s="47"/>
      <c r="U20" s="47"/>
    </row>
    <row r="21" spans="1:42">
      <c r="A21" s="51" t="s">
        <v>0</v>
      </c>
      <c r="B21" s="51" t="s">
        <v>2</v>
      </c>
      <c r="C21" s="52" t="s">
        <v>1101</v>
      </c>
      <c r="D21" s="53"/>
      <c r="E21" s="53"/>
      <c r="F21" s="53"/>
      <c r="G21" s="53"/>
      <c r="H21" s="53"/>
      <c r="I21" s="111" t="s">
        <v>1102</v>
      </c>
      <c r="J21" s="112"/>
      <c r="K21" s="112"/>
      <c r="L21" s="112"/>
      <c r="M21" s="112"/>
      <c r="N21" s="113"/>
      <c r="O21" s="124" t="s">
        <v>1103</v>
      </c>
      <c r="P21" s="125"/>
      <c r="Q21" s="125"/>
      <c r="R21" s="125"/>
      <c r="S21" s="125"/>
      <c r="T21" s="131"/>
      <c r="U21" s="82" t="s">
        <v>17</v>
      </c>
      <c r="W21" s="127"/>
      <c r="X21" s="127"/>
      <c r="Y21" s="132" t="s">
        <v>1101</v>
      </c>
      <c r="Z21" s="133"/>
      <c r="AA21" s="133"/>
      <c r="AB21" s="133"/>
      <c r="AC21" s="133"/>
      <c r="AD21" s="134"/>
      <c r="AE21" s="135" t="s">
        <v>1104</v>
      </c>
      <c r="AF21" s="136"/>
      <c r="AG21" s="136"/>
      <c r="AH21" s="136"/>
      <c r="AI21" s="136"/>
      <c r="AJ21" s="143"/>
      <c r="AK21" s="144" t="s">
        <v>1105</v>
      </c>
      <c r="AL21" s="145"/>
      <c r="AM21" s="145"/>
      <c r="AN21" s="145"/>
      <c r="AO21" s="145"/>
      <c r="AP21" s="145"/>
    </row>
    <row r="22" spans="1:42">
      <c r="A22" s="55"/>
      <c r="B22" s="55"/>
      <c r="C22" s="56" t="s">
        <v>1129</v>
      </c>
      <c r="D22" s="57"/>
      <c r="E22" s="56" t="s">
        <v>1130</v>
      </c>
      <c r="F22" s="56"/>
      <c r="G22" s="56"/>
      <c r="H22" s="56"/>
      <c r="I22" s="71" t="s">
        <v>1131</v>
      </c>
      <c r="J22" s="78"/>
      <c r="K22" s="71" t="s">
        <v>1130</v>
      </c>
      <c r="L22" s="71"/>
      <c r="M22" s="71"/>
      <c r="N22" s="71"/>
      <c r="O22" s="115" t="s">
        <v>1132</v>
      </c>
      <c r="P22" s="116"/>
      <c r="Q22" s="115" t="s">
        <v>1130</v>
      </c>
      <c r="R22" s="115"/>
      <c r="S22" s="115"/>
      <c r="T22" s="128"/>
      <c r="U22" s="83"/>
      <c r="W22" s="127"/>
      <c r="X22" s="127"/>
      <c r="Y22" s="137" t="s">
        <v>1108</v>
      </c>
      <c r="Z22" s="137"/>
      <c r="AA22" s="137" t="s">
        <v>1109</v>
      </c>
      <c r="AB22" s="137"/>
      <c r="AC22" s="138" t="s">
        <v>1110</v>
      </c>
      <c r="AD22" s="139"/>
      <c r="AE22" s="140" t="s">
        <v>1108</v>
      </c>
      <c r="AF22" s="140"/>
      <c r="AG22" s="140" t="s">
        <v>1109</v>
      </c>
      <c r="AH22" s="140"/>
      <c r="AI22" s="146" t="s">
        <v>1110</v>
      </c>
      <c r="AJ22" s="147"/>
      <c r="AK22" s="148" t="s">
        <v>1108</v>
      </c>
      <c r="AL22" s="148"/>
      <c r="AM22" s="148" t="s">
        <v>1109</v>
      </c>
      <c r="AN22" s="148"/>
      <c r="AO22" s="151" t="s">
        <v>1110</v>
      </c>
      <c r="AP22" s="152"/>
    </row>
    <row r="23" ht="36" spans="1:42">
      <c r="A23" s="58"/>
      <c r="B23" s="58"/>
      <c r="C23" s="56" t="s">
        <v>1117</v>
      </c>
      <c r="D23" s="56" t="s">
        <v>1118</v>
      </c>
      <c r="E23" s="56" t="s">
        <v>1133</v>
      </c>
      <c r="F23" s="56" t="s">
        <v>1134</v>
      </c>
      <c r="G23" s="56" t="s">
        <v>1135</v>
      </c>
      <c r="H23" s="56" t="s">
        <v>1116</v>
      </c>
      <c r="I23" s="71" t="s">
        <v>1117</v>
      </c>
      <c r="J23" s="71" t="s">
        <v>1118</v>
      </c>
      <c r="K23" s="71" t="s">
        <v>1133</v>
      </c>
      <c r="L23" s="71" t="s">
        <v>1134</v>
      </c>
      <c r="M23" s="71" t="s">
        <v>1135</v>
      </c>
      <c r="N23" s="71" t="s">
        <v>1116</v>
      </c>
      <c r="O23" s="115" t="s">
        <v>1117</v>
      </c>
      <c r="P23" s="115" t="s">
        <v>1118</v>
      </c>
      <c r="Q23" s="115" t="s">
        <v>1133</v>
      </c>
      <c r="R23" s="115" t="s">
        <v>1134</v>
      </c>
      <c r="S23" s="115" t="s">
        <v>1135</v>
      </c>
      <c r="T23" s="129" t="s">
        <v>1116</v>
      </c>
      <c r="U23" s="84"/>
      <c r="W23" s="127"/>
      <c r="X23" s="127"/>
      <c r="Y23" s="127" t="s">
        <v>1117</v>
      </c>
      <c r="Z23" s="127" t="s">
        <v>1118</v>
      </c>
      <c r="AA23" s="127" t="s">
        <v>1117</v>
      </c>
      <c r="AB23" s="127" t="s">
        <v>1118</v>
      </c>
      <c r="AC23" s="141" t="s">
        <v>1119</v>
      </c>
      <c r="AD23" s="141" t="s">
        <v>1120</v>
      </c>
      <c r="AE23" s="142" t="s">
        <v>1117</v>
      </c>
      <c r="AF23" s="142" t="s">
        <v>1118</v>
      </c>
      <c r="AG23" s="142" t="s">
        <v>1117</v>
      </c>
      <c r="AH23" s="142" t="s">
        <v>1118</v>
      </c>
      <c r="AI23" s="149" t="s">
        <v>1119</v>
      </c>
      <c r="AJ23" s="149" t="s">
        <v>1120</v>
      </c>
      <c r="AK23" s="150" t="s">
        <v>1117</v>
      </c>
      <c r="AL23" s="150" t="s">
        <v>1118</v>
      </c>
      <c r="AM23" s="150" t="s">
        <v>1117</v>
      </c>
      <c r="AN23" s="150" t="s">
        <v>1118</v>
      </c>
      <c r="AO23" s="153" t="s">
        <v>1119</v>
      </c>
      <c r="AP23" s="153" t="s">
        <v>1120</v>
      </c>
    </row>
    <row r="24" spans="1:42">
      <c r="A24" s="59"/>
      <c r="B24" s="60" t="s">
        <v>1121</v>
      </c>
      <c r="C24" s="59">
        <f>SUM(C25:C42)</f>
        <v>472</v>
      </c>
      <c r="D24" s="59" t="e">
        <f>SUM(D25:D42)</f>
        <v>#REF!</v>
      </c>
      <c r="E24" s="59">
        <f>SUM(E25:E42)</f>
        <v>472</v>
      </c>
      <c r="F24" s="59">
        <f>SUM(F25:F42)</f>
        <v>376</v>
      </c>
      <c r="G24" s="59" t="e">
        <f>SUM(G25:G42)</f>
        <v>#REF!</v>
      </c>
      <c r="H24" s="105" t="e">
        <f>IF(D24=0,"-",ROUND(G24/D24,3))</f>
        <v>#REF!</v>
      </c>
      <c r="I24" s="117">
        <f>SUM(I25:I42)</f>
        <v>235</v>
      </c>
      <c r="J24" s="117">
        <f>SUM(J25:J42)</f>
        <v>237948.7849</v>
      </c>
      <c r="K24" s="117">
        <f>SUM(K25:K42)</f>
        <v>235</v>
      </c>
      <c r="L24" s="117">
        <f>SUM(L25:L42)</f>
        <v>210</v>
      </c>
      <c r="M24" s="117">
        <f>SUM(M25:M42)</f>
        <v>210970.9308</v>
      </c>
      <c r="N24" s="118">
        <f>IF(J24=0,"-",ROUND(M24/J24,3))</f>
        <v>0.887</v>
      </c>
      <c r="O24" s="119">
        <f>SUM(O25:O42)</f>
        <v>237</v>
      </c>
      <c r="P24" s="119" t="e">
        <f>SUM(P25:P42)</f>
        <v>#REF!</v>
      </c>
      <c r="Q24" s="119">
        <f>SUM(Q25:Q42)</f>
        <v>237</v>
      </c>
      <c r="R24" s="119">
        <f>SUM(R25:R42)</f>
        <v>166</v>
      </c>
      <c r="S24" s="119" t="e">
        <f>SUM(S25:S42)</f>
        <v>#REF!</v>
      </c>
      <c r="T24" s="130" t="e">
        <f>IF(P24=0,"-",ROUND(S24/P24,3))</f>
        <v>#REF!</v>
      </c>
      <c r="U24" s="85"/>
      <c r="W24" s="127"/>
      <c r="X24" s="127" t="s">
        <v>1121</v>
      </c>
      <c r="Y24" s="127">
        <v>435</v>
      </c>
      <c r="Z24" s="127">
        <v>1254233.0672</v>
      </c>
      <c r="AA24" s="127">
        <v>435</v>
      </c>
      <c r="AB24" s="127">
        <v>1223376.9672</v>
      </c>
      <c r="AC24" s="141">
        <f>Y24-AA24</f>
        <v>0</v>
      </c>
      <c r="AD24" s="141">
        <f>Z24-AB24</f>
        <v>30856.0999999999</v>
      </c>
      <c r="AE24" s="142">
        <v>227</v>
      </c>
      <c r="AF24" s="142">
        <v>257364.8849</v>
      </c>
      <c r="AG24" s="142">
        <v>227</v>
      </c>
      <c r="AH24" s="142">
        <v>226193.7849</v>
      </c>
      <c r="AI24" s="149">
        <f>AE24-AG24</f>
        <v>0</v>
      </c>
      <c r="AJ24" s="149">
        <f>AF24-AH24</f>
        <v>31171.1</v>
      </c>
      <c r="AK24" s="150">
        <v>208</v>
      </c>
      <c r="AL24" s="150">
        <v>996868.1823</v>
      </c>
      <c r="AM24" s="150">
        <v>208</v>
      </c>
      <c r="AN24" s="150">
        <v>997183.1823</v>
      </c>
      <c r="AO24" s="153">
        <f>AK24-AM24</f>
        <v>0</v>
      </c>
      <c r="AP24" s="153">
        <f>AL24-AN24</f>
        <v>-315</v>
      </c>
    </row>
    <row r="25" spans="1:42">
      <c r="A25" s="59">
        <v>1</v>
      </c>
      <c r="B25" s="63" t="s">
        <v>55</v>
      </c>
      <c r="C25" s="67">
        <f>I25+O25</f>
        <v>75</v>
      </c>
      <c r="D25" s="107">
        <f>J25+P25</f>
        <v>136855.55</v>
      </c>
      <c r="E25" s="67">
        <f>K25+Q25</f>
        <v>75</v>
      </c>
      <c r="F25" s="67">
        <f>L25+R25</f>
        <v>62</v>
      </c>
      <c r="G25" s="107">
        <f>M25+S25</f>
        <v>129340</v>
      </c>
      <c r="H25" s="105">
        <f>IF(D25=0,"-",ROUND(G25/D25,3))</f>
        <v>0.945</v>
      </c>
      <c r="I25" s="65">
        <f>水利!I3</f>
        <v>40</v>
      </c>
      <c r="J25" s="120">
        <f>水利!J3</f>
        <v>10754</v>
      </c>
      <c r="K25" s="65">
        <f>水利!K3</f>
        <v>40</v>
      </c>
      <c r="L25" s="65">
        <f>水利!L3</f>
        <v>39</v>
      </c>
      <c r="M25" s="120">
        <f>水利!M3</f>
        <v>10600</v>
      </c>
      <c r="N25" s="118">
        <f>IF(J25=0,"-",ROUND(M25/J25,3))</f>
        <v>0.986</v>
      </c>
      <c r="O25" s="121">
        <f>水利!P3+其他市报!T7</f>
        <v>35</v>
      </c>
      <c r="P25" s="121">
        <f>水利!Q3+其他市报!U7</f>
        <v>126101.55</v>
      </c>
      <c r="Q25" s="121">
        <f>水利!R3+其他市报!V7</f>
        <v>35</v>
      </c>
      <c r="R25" s="121">
        <f>水利!S3+其他市报!W7</f>
        <v>23</v>
      </c>
      <c r="S25" s="121">
        <f>水利!T3+其他市报!X7</f>
        <v>118740</v>
      </c>
      <c r="T25" s="130">
        <f>IF(P25=0,"-",ROUND(S25/P25,3))</f>
        <v>0.942</v>
      </c>
      <c r="U25" s="86"/>
      <c r="W25" s="127">
        <v>1</v>
      </c>
      <c r="X25" s="127" t="s">
        <v>55</v>
      </c>
      <c r="Y25" s="127">
        <v>55</v>
      </c>
      <c r="Z25" s="127">
        <v>117913.07</v>
      </c>
      <c r="AA25" s="127">
        <v>55</v>
      </c>
      <c r="AB25" s="127">
        <v>117913.07</v>
      </c>
      <c r="AC25" s="141">
        <f t="shared" ref="AC25:AD42" si="17">Y25-AA25</f>
        <v>0</v>
      </c>
      <c r="AD25" s="141">
        <f t="shared" si="17"/>
        <v>0</v>
      </c>
      <c r="AE25" s="142">
        <v>38</v>
      </c>
      <c r="AF25" s="142">
        <v>7527</v>
      </c>
      <c r="AG25" s="142">
        <v>38</v>
      </c>
      <c r="AH25" s="142">
        <v>7527</v>
      </c>
      <c r="AI25" s="149">
        <f t="shared" ref="AI25:AJ42" si="18">AE25-AG25</f>
        <v>0</v>
      </c>
      <c r="AJ25" s="149">
        <f t="shared" si="18"/>
        <v>0</v>
      </c>
      <c r="AK25" s="150">
        <v>17</v>
      </c>
      <c r="AL25" s="150">
        <v>110386.07</v>
      </c>
      <c r="AM25" s="150">
        <v>17</v>
      </c>
      <c r="AN25" s="150">
        <v>110386.07</v>
      </c>
      <c r="AO25" s="153">
        <f t="shared" ref="AO25:AP42" si="19">AK25-AM25</f>
        <v>0</v>
      </c>
      <c r="AP25" s="153">
        <f t="shared" si="19"/>
        <v>0</v>
      </c>
    </row>
    <row r="26" spans="1:42">
      <c r="A26" s="59">
        <v>2</v>
      </c>
      <c r="B26" s="63" t="s">
        <v>510</v>
      </c>
      <c r="C26" s="67">
        <f t="shared" ref="C26:G42" si="20">I26+O26</f>
        <v>13</v>
      </c>
      <c r="D26" s="107">
        <f t="shared" si="20"/>
        <v>127066</v>
      </c>
      <c r="E26" s="67">
        <f t="shared" si="20"/>
        <v>13</v>
      </c>
      <c r="F26" s="67">
        <f t="shared" si="20"/>
        <v>6</v>
      </c>
      <c r="G26" s="107">
        <f t="shared" si="20"/>
        <v>105255</v>
      </c>
      <c r="H26" s="105">
        <f t="shared" ref="H26:H43" si="21">IF(D26=0,"-",ROUND(G26/D26,3))</f>
        <v>0.828</v>
      </c>
      <c r="I26" s="65">
        <f>农业!I3</f>
        <v>12</v>
      </c>
      <c r="J26" s="120">
        <f>农业!J3</f>
        <v>118862</v>
      </c>
      <c r="K26" s="65">
        <f>农业!K3</f>
        <v>12</v>
      </c>
      <c r="L26" s="65">
        <f>农业!L3</f>
        <v>6</v>
      </c>
      <c r="M26" s="120">
        <f>农业!M3</f>
        <v>99261</v>
      </c>
      <c r="N26" s="118">
        <f t="shared" ref="N26:N43" si="22">IF(J26=0,"-",ROUND(M26/J26,3))</f>
        <v>0.835</v>
      </c>
      <c r="O26" s="121">
        <f>农业!P3+其他市报!T65</f>
        <v>1</v>
      </c>
      <c r="P26" s="121">
        <f>农业!Q3+其他市报!U65</f>
        <v>8204</v>
      </c>
      <c r="Q26" s="121">
        <f>农业!R3+其他市报!V65</f>
        <v>1</v>
      </c>
      <c r="R26" s="121">
        <f>农业!S3+其他市报!W65</f>
        <v>0</v>
      </c>
      <c r="S26" s="121">
        <f>农业!T3+其他市报!X65</f>
        <v>5994</v>
      </c>
      <c r="T26" s="130">
        <f t="shared" ref="T26:T43" si="23">IF(P26=0,"-",ROUND(S26/P26,3))</f>
        <v>0.731</v>
      </c>
      <c r="U26" s="86"/>
      <c r="W26" s="127">
        <v>2</v>
      </c>
      <c r="X26" s="127" t="s">
        <v>510</v>
      </c>
      <c r="Y26" s="127">
        <v>12</v>
      </c>
      <c r="Z26" s="127">
        <v>118862</v>
      </c>
      <c r="AA26" s="127">
        <v>12</v>
      </c>
      <c r="AB26" s="127">
        <v>118862</v>
      </c>
      <c r="AC26" s="141">
        <f t="shared" si="17"/>
        <v>0</v>
      </c>
      <c r="AD26" s="141">
        <f t="shared" si="17"/>
        <v>0</v>
      </c>
      <c r="AE26" s="142">
        <v>12</v>
      </c>
      <c r="AF26" s="142">
        <v>118862</v>
      </c>
      <c r="AG26" s="142">
        <v>12</v>
      </c>
      <c r="AH26" s="142">
        <v>118862</v>
      </c>
      <c r="AI26" s="149">
        <f t="shared" si="18"/>
        <v>0</v>
      </c>
      <c r="AJ26" s="149">
        <f t="shared" si="18"/>
        <v>0</v>
      </c>
      <c r="AK26" s="150">
        <v>0</v>
      </c>
      <c r="AL26" s="150">
        <v>0</v>
      </c>
      <c r="AM26" s="150">
        <v>0</v>
      </c>
      <c r="AN26" s="150">
        <v>0</v>
      </c>
      <c r="AO26" s="153">
        <f t="shared" si="19"/>
        <v>0</v>
      </c>
      <c r="AP26" s="153">
        <f t="shared" si="19"/>
        <v>0</v>
      </c>
    </row>
    <row r="27" spans="1:42">
      <c r="A27" s="59">
        <v>3</v>
      </c>
      <c r="B27" s="63" t="s">
        <v>544</v>
      </c>
      <c r="C27" s="67">
        <f t="shared" si="20"/>
        <v>9</v>
      </c>
      <c r="D27" s="107">
        <f t="shared" si="20"/>
        <v>4888.1</v>
      </c>
      <c r="E27" s="67">
        <f t="shared" si="20"/>
        <v>9</v>
      </c>
      <c r="F27" s="67">
        <f t="shared" si="20"/>
        <v>9</v>
      </c>
      <c r="G27" s="107">
        <f t="shared" si="20"/>
        <v>4888.1</v>
      </c>
      <c r="H27" s="105">
        <f t="shared" si="21"/>
        <v>1</v>
      </c>
      <c r="I27" s="65">
        <f>林业!I3</f>
        <v>2</v>
      </c>
      <c r="J27" s="120">
        <f>林业!J3</f>
        <v>1491.9</v>
      </c>
      <c r="K27" s="65">
        <f>林业!K3</f>
        <v>2</v>
      </c>
      <c r="L27" s="65">
        <f>林业!L3</f>
        <v>2</v>
      </c>
      <c r="M27" s="120">
        <f>林业!M3</f>
        <v>1491.9</v>
      </c>
      <c r="N27" s="118">
        <f t="shared" si="22"/>
        <v>1</v>
      </c>
      <c r="O27" s="121">
        <f>林业!P3</f>
        <v>7</v>
      </c>
      <c r="P27" s="121">
        <f>林业!Q3</f>
        <v>3396.2</v>
      </c>
      <c r="Q27" s="121">
        <f>林业!R3</f>
        <v>7</v>
      </c>
      <c r="R27" s="121">
        <f>林业!S3</f>
        <v>7</v>
      </c>
      <c r="S27" s="121">
        <f>林业!T3</f>
        <v>3396.2</v>
      </c>
      <c r="T27" s="130">
        <f t="shared" si="23"/>
        <v>1</v>
      </c>
      <c r="U27" s="86"/>
      <c r="W27" s="127">
        <v>3</v>
      </c>
      <c r="X27" s="127" t="s">
        <v>544</v>
      </c>
      <c r="Y27" s="127">
        <v>9</v>
      </c>
      <c r="Z27" s="127">
        <v>5059.2</v>
      </c>
      <c r="AA27" s="127">
        <v>9</v>
      </c>
      <c r="AB27" s="127">
        <v>4888.1</v>
      </c>
      <c r="AC27" s="141">
        <f t="shared" si="17"/>
        <v>0</v>
      </c>
      <c r="AD27" s="141">
        <f t="shared" si="17"/>
        <v>171.099999999999</v>
      </c>
      <c r="AE27" s="142">
        <v>2</v>
      </c>
      <c r="AF27" s="142">
        <v>1663</v>
      </c>
      <c r="AG27" s="142">
        <v>2</v>
      </c>
      <c r="AH27" s="142">
        <v>1491.9</v>
      </c>
      <c r="AI27" s="149">
        <f t="shared" si="18"/>
        <v>0</v>
      </c>
      <c r="AJ27" s="149">
        <f t="shared" si="18"/>
        <v>171.1</v>
      </c>
      <c r="AK27" s="150">
        <v>7</v>
      </c>
      <c r="AL27" s="150">
        <v>3396.2</v>
      </c>
      <c r="AM27" s="150">
        <v>7</v>
      </c>
      <c r="AN27" s="150">
        <v>3396.2</v>
      </c>
      <c r="AO27" s="153">
        <f t="shared" si="19"/>
        <v>0</v>
      </c>
      <c r="AP27" s="153">
        <f t="shared" si="19"/>
        <v>0</v>
      </c>
    </row>
    <row r="28" spans="1:42">
      <c r="A28" s="59">
        <v>4</v>
      </c>
      <c r="B28" s="63" t="s">
        <v>129</v>
      </c>
      <c r="C28" s="67">
        <f t="shared" si="20"/>
        <v>65</v>
      </c>
      <c r="D28" s="107" t="e">
        <f t="shared" si="20"/>
        <v>#REF!</v>
      </c>
      <c r="E28" s="67">
        <f t="shared" si="20"/>
        <v>65</v>
      </c>
      <c r="F28" s="67">
        <f t="shared" si="20"/>
        <v>50</v>
      </c>
      <c r="G28" s="107" t="e">
        <f t="shared" si="20"/>
        <v>#REF!</v>
      </c>
      <c r="H28" s="105" t="e">
        <f t="shared" si="21"/>
        <v>#REF!</v>
      </c>
      <c r="I28" s="65">
        <f>交通!I3</f>
        <v>41</v>
      </c>
      <c r="J28" s="120">
        <f>交通!J3</f>
        <v>61065.586</v>
      </c>
      <c r="K28" s="65">
        <f>交通!K3</f>
        <v>41</v>
      </c>
      <c r="L28" s="65">
        <f>交通!L3</f>
        <v>33</v>
      </c>
      <c r="M28" s="120">
        <f>交通!M3</f>
        <v>55010.586</v>
      </c>
      <c r="N28" s="118">
        <f t="shared" si="22"/>
        <v>0.901</v>
      </c>
      <c r="O28" s="121">
        <f>交通!P3+其他市报!T70</f>
        <v>24</v>
      </c>
      <c r="P28" s="121" t="e">
        <f>交通!Q3+其他市报!U70</f>
        <v>#REF!</v>
      </c>
      <c r="Q28" s="121">
        <f>交通!R3+其他市报!V70</f>
        <v>24</v>
      </c>
      <c r="R28" s="121">
        <f>交通!S3+其他市报!W70</f>
        <v>17</v>
      </c>
      <c r="S28" s="121" t="e">
        <f>交通!T3+其他市报!X70</f>
        <v>#REF!</v>
      </c>
      <c r="T28" s="130" t="e">
        <f t="shared" si="23"/>
        <v>#REF!</v>
      </c>
      <c r="U28" s="86"/>
      <c r="W28" s="127">
        <v>4</v>
      </c>
      <c r="X28" s="127" t="s">
        <v>129</v>
      </c>
      <c r="Y28" s="127">
        <v>65</v>
      </c>
      <c r="Z28" s="127">
        <v>111976.8101</v>
      </c>
      <c r="AA28" s="127">
        <v>65</v>
      </c>
      <c r="AB28" s="127">
        <v>111976.8101</v>
      </c>
      <c r="AC28" s="141">
        <f t="shared" si="17"/>
        <v>0</v>
      </c>
      <c r="AD28" s="141">
        <f t="shared" si="17"/>
        <v>0</v>
      </c>
      <c r="AE28" s="142">
        <v>41</v>
      </c>
      <c r="AF28" s="142">
        <v>61065.586</v>
      </c>
      <c r="AG28" s="142">
        <v>41</v>
      </c>
      <c r="AH28" s="142">
        <v>61065.586</v>
      </c>
      <c r="AI28" s="149">
        <f t="shared" si="18"/>
        <v>0</v>
      </c>
      <c r="AJ28" s="149">
        <f t="shared" si="18"/>
        <v>0</v>
      </c>
      <c r="AK28" s="150">
        <v>24</v>
      </c>
      <c r="AL28" s="150">
        <v>50911.2241</v>
      </c>
      <c r="AM28" s="150">
        <v>24</v>
      </c>
      <c r="AN28" s="150">
        <v>50911.2241</v>
      </c>
      <c r="AO28" s="153">
        <f t="shared" si="19"/>
        <v>0</v>
      </c>
      <c r="AP28" s="153">
        <f t="shared" si="19"/>
        <v>0</v>
      </c>
    </row>
    <row r="29" spans="1:42">
      <c r="A29" s="59">
        <v>5</v>
      </c>
      <c r="B29" s="63" t="s">
        <v>421</v>
      </c>
      <c r="C29" s="67">
        <f t="shared" si="20"/>
        <v>4</v>
      </c>
      <c r="D29" s="107">
        <f t="shared" si="20"/>
        <v>2842.73</v>
      </c>
      <c r="E29" s="67">
        <f t="shared" si="20"/>
        <v>4</v>
      </c>
      <c r="F29" s="67">
        <f t="shared" si="20"/>
        <v>2</v>
      </c>
      <c r="G29" s="107">
        <f t="shared" si="20"/>
        <v>1072.73</v>
      </c>
      <c r="H29" s="105">
        <f t="shared" si="21"/>
        <v>0.377</v>
      </c>
      <c r="I29" s="65">
        <f>教育!I3</f>
        <v>2</v>
      </c>
      <c r="J29" s="120">
        <f>教育!J3</f>
        <v>342.73</v>
      </c>
      <c r="K29" s="65">
        <f>教育!K3</f>
        <v>2</v>
      </c>
      <c r="L29" s="65">
        <f>教育!L3</f>
        <v>2</v>
      </c>
      <c r="M29" s="120">
        <f>教育!M3</f>
        <v>342.73</v>
      </c>
      <c r="N29" s="118">
        <f t="shared" si="22"/>
        <v>1</v>
      </c>
      <c r="O29" s="121">
        <f>教育!P3+其他市报!T38</f>
        <v>2</v>
      </c>
      <c r="P29" s="121">
        <f>教育!Q3+其他市报!U38</f>
        <v>2500</v>
      </c>
      <c r="Q29" s="121">
        <f>教育!R3+其他市报!V38</f>
        <v>2</v>
      </c>
      <c r="R29" s="121">
        <f>教育!S3+其他市报!W38</f>
        <v>0</v>
      </c>
      <c r="S29" s="121">
        <f>教育!T3+其他市报!X38</f>
        <v>730</v>
      </c>
      <c r="T29" s="130">
        <f t="shared" si="23"/>
        <v>0.292</v>
      </c>
      <c r="U29" s="86"/>
      <c r="W29" s="127">
        <v>5</v>
      </c>
      <c r="X29" s="127" t="s">
        <v>421</v>
      </c>
      <c r="Y29" s="127">
        <v>1</v>
      </c>
      <c r="Z29" s="127">
        <v>192.73</v>
      </c>
      <c r="AA29" s="127">
        <v>1</v>
      </c>
      <c r="AB29" s="127">
        <v>192.73</v>
      </c>
      <c r="AC29" s="141">
        <f t="shared" si="17"/>
        <v>0</v>
      </c>
      <c r="AD29" s="141">
        <f t="shared" si="17"/>
        <v>0</v>
      </c>
      <c r="AE29" s="142">
        <v>1</v>
      </c>
      <c r="AF29" s="142">
        <v>192.73</v>
      </c>
      <c r="AG29" s="142">
        <v>1</v>
      </c>
      <c r="AH29" s="142">
        <v>192.73</v>
      </c>
      <c r="AI29" s="149">
        <f t="shared" si="18"/>
        <v>0</v>
      </c>
      <c r="AJ29" s="149">
        <f t="shared" si="18"/>
        <v>0</v>
      </c>
      <c r="AK29" s="150">
        <v>0</v>
      </c>
      <c r="AL29" s="150">
        <v>0</v>
      </c>
      <c r="AM29" s="150">
        <v>0</v>
      </c>
      <c r="AN29" s="150">
        <v>0</v>
      </c>
      <c r="AO29" s="153">
        <f t="shared" si="19"/>
        <v>0</v>
      </c>
      <c r="AP29" s="153">
        <f t="shared" si="19"/>
        <v>0</v>
      </c>
    </row>
    <row r="30" spans="1:42">
      <c r="A30" s="59">
        <v>6</v>
      </c>
      <c r="B30" s="63" t="s">
        <v>461</v>
      </c>
      <c r="C30" s="67">
        <f t="shared" si="20"/>
        <v>24</v>
      </c>
      <c r="D30" s="107">
        <f t="shared" si="20"/>
        <v>136322.3</v>
      </c>
      <c r="E30" s="67">
        <f t="shared" si="20"/>
        <v>24</v>
      </c>
      <c r="F30" s="67">
        <f t="shared" si="20"/>
        <v>6</v>
      </c>
      <c r="G30" s="107">
        <f t="shared" si="20"/>
        <v>105254.5</v>
      </c>
      <c r="H30" s="105">
        <f t="shared" si="21"/>
        <v>0.772</v>
      </c>
      <c r="I30" s="65">
        <f>卫生!I3</f>
        <v>11</v>
      </c>
      <c r="J30" s="120">
        <f>卫生!J3</f>
        <v>13241.9</v>
      </c>
      <c r="K30" s="65">
        <f>卫生!K3</f>
        <v>11</v>
      </c>
      <c r="L30" s="65">
        <f>卫生!L3</f>
        <v>3</v>
      </c>
      <c r="M30" s="120">
        <f>卫生!M3</f>
        <v>12212.5</v>
      </c>
      <c r="N30" s="118">
        <f t="shared" si="22"/>
        <v>0.922</v>
      </c>
      <c r="O30" s="121">
        <f>卫生!P3+其他市报!T60</f>
        <v>13</v>
      </c>
      <c r="P30" s="121">
        <f>卫生!Q3+其他市报!U60</f>
        <v>123080.4</v>
      </c>
      <c r="Q30" s="121">
        <f>卫生!R3+其他市报!V60</f>
        <v>13</v>
      </c>
      <c r="R30" s="121">
        <f>卫生!S3+其他市报!W60</f>
        <v>3</v>
      </c>
      <c r="S30" s="121">
        <f>卫生!T3+其他市报!X60</f>
        <v>93042</v>
      </c>
      <c r="T30" s="130">
        <f t="shared" si="23"/>
        <v>0.756</v>
      </c>
      <c r="U30" s="86"/>
      <c r="W30" s="127">
        <v>6</v>
      </c>
      <c r="X30" s="127" t="s">
        <v>461</v>
      </c>
      <c r="Y30" s="127">
        <v>20</v>
      </c>
      <c r="Z30" s="127">
        <v>135632.3</v>
      </c>
      <c r="AA30" s="127">
        <v>20</v>
      </c>
      <c r="AB30" s="127">
        <v>135632.3</v>
      </c>
      <c r="AC30" s="141">
        <f t="shared" si="17"/>
        <v>0</v>
      </c>
      <c r="AD30" s="141">
        <f t="shared" si="17"/>
        <v>0</v>
      </c>
      <c r="AE30" s="142">
        <v>8</v>
      </c>
      <c r="AF30" s="142">
        <v>12791.9</v>
      </c>
      <c r="AG30" s="142">
        <v>8</v>
      </c>
      <c r="AH30" s="142">
        <v>12791.9</v>
      </c>
      <c r="AI30" s="149">
        <f t="shared" si="18"/>
        <v>0</v>
      </c>
      <c r="AJ30" s="149">
        <f t="shared" si="18"/>
        <v>0</v>
      </c>
      <c r="AK30" s="150">
        <v>12</v>
      </c>
      <c r="AL30" s="150">
        <v>122840.4</v>
      </c>
      <c r="AM30" s="150">
        <v>12</v>
      </c>
      <c r="AN30" s="150">
        <v>122840.4</v>
      </c>
      <c r="AO30" s="153">
        <f t="shared" si="19"/>
        <v>0</v>
      </c>
      <c r="AP30" s="153">
        <f t="shared" si="19"/>
        <v>0</v>
      </c>
    </row>
    <row r="31" spans="1:42">
      <c r="A31" s="59">
        <v>7</v>
      </c>
      <c r="B31" s="63" t="s">
        <v>1125</v>
      </c>
      <c r="C31" s="67">
        <f t="shared" si="20"/>
        <v>11</v>
      </c>
      <c r="D31" s="107" t="e">
        <f t="shared" si="20"/>
        <v>#REF!</v>
      </c>
      <c r="E31" s="67">
        <f t="shared" si="20"/>
        <v>11</v>
      </c>
      <c r="F31" s="67">
        <f t="shared" si="20"/>
        <v>8</v>
      </c>
      <c r="G31" s="107" t="e">
        <f t="shared" si="20"/>
        <v>#REF!</v>
      </c>
      <c r="H31" s="105" t="e">
        <f t="shared" si="21"/>
        <v>#REF!</v>
      </c>
      <c r="I31" s="65">
        <f>住房!I3</f>
        <v>8</v>
      </c>
      <c r="J31" s="120">
        <f>住房!J3</f>
        <v>3989.8789</v>
      </c>
      <c r="K31" s="65">
        <f>住房!K3</f>
        <v>8</v>
      </c>
      <c r="L31" s="65">
        <f>住房!L3</f>
        <v>8</v>
      </c>
      <c r="M31" s="120">
        <f>住房!M3</f>
        <v>3989.8789</v>
      </c>
      <c r="N31" s="118">
        <f t="shared" si="22"/>
        <v>1</v>
      </c>
      <c r="O31" s="121">
        <f>住房!P3+其他市报!T30</f>
        <v>3</v>
      </c>
      <c r="P31" s="121" t="e">
        <f>住房!Q3+其他市报!U30</f>
        <v>#REF!</v>
      </c>
      <c r="Q31" s="121">
        <f>住房!R3+其他市报!V30</f>
        <v>3</v>
      </c>
      <c r="R31" s="121">
        <f>住房!S3+其他市报!W30</f>
        <v>0</v>
      </c>
      <c r="S31" s="121" t="e">
        <f>住房!T3+其他市报!X30</f>
        <v>#REF!</v>
      </c>
      <c r="T31" s="130" t="e">
        <f t="shared" si="23"/>
        <v>#REF!</v>
      </c>
      <c r="U31" s="85"/>
      <c r="W31" s="127">
        <v>7</v>
      </c>
      <c r="X31" s="127" t="s">
        <v>1125</v>
      </c>
      <c r="Y31" s="127">
        <v>8</v>
      </c>
      <c r="Z31" s="127">
        <v>3989.8789</v>
      </c>
      <c r="AA31" s="127">
        <v>8</v>
      </c>
      <c r="AB31" s="127">
        <v>3989.8789</v>
      </c>
      <c r="AC31" s="141">
        <f t="shared" si="17"/>
        <v>0</v>
      </c>
      <c r="AD31" s="141">
        <f t="shared" si="17"/>
        <v>0</v>
      </c>
      <c r="AE31" s="142">
        <v>8</v>
      </c>
      <c r="AF31" s="142">
        <v>3989.8789</v>
      </c>
      <c r="AG31" s="142">
        <v>8</v>
      </c>
      <c r="AH31" s="142">
        <v>3989.8789</v>
      </c>
      <c r="AI31" s="149">
        <f t="shared" si="18"/>
        <v>0</v>
      </c>
      <c r="AJ31" s="149">
        <f t="shared" si="18"/>
        <v>0</v>
      </c>
      <c r="AK31" s="150">
        <v>0</v>
      </c>
      <c r="AL31" s="150">
        <v>0</v>
      </c>
      <c r="AM31" s="150">
        <v>0</v>
      </c>
      <c r="AN31" s="150">
        <v>0</v>
      </c>
      <c r="AO31" s="153">
        <f t="shared" si="19"/>
        <v>0</v>
      </c>
      <c r="AP31" s="153">
        <f t="shared" si="19"/>
        <v>0</v>
      </c>
    </row>
    <row r="32" spans="1:42">
      <c r="A32" s="59">
        <v>8</v>
      </c>
      <c r="B32" s="63" t="s">
        <v>558</v>
      </c>
      <c r="C32" s="67">
        <f t="shared" si="20"/>
        <v>51</v>
      </c>
      <c r="D32" s="107">
        <f t="shared" si="20"/>
        <v>642136.588</v>
      </c>
      <c r="E32" s="67">
        <f t="shared" si="20"/>
        <v>51</v>
      </c>
      <c r="F32" s="67">
        <f t="shared" si="20"/>
        <v>26</v>
      </c>
      <c r="G32" s="107">
        <f t="shared" si="20"/>
        <v>548448.388</v>
      </c>
      <c r="H32" s="105">
        <f t="shared" si="21"/>
        <v>0.854</v>
      </c>
      <c r="I32" s="65">
        <f>市政!I3</f>
        <v>2</v>
      </c>
      <c r="J32" s="120">
        <f>市政!J3</f>
        <v>7928</v>
      </c>
      <c r="K32" s="65">
        <f>市政!K3</f>
        <v>2</v>
      </c>
      <c r="L32" s="65">
        <f>市政!L3</f>
        <v>2</v>
      </c>
      <c r="M32" s="120">
        <f>市政!M3</f>
        <v>7928</v>
      </c>
      <c r="N32" s="118">
        <f t="shared" si="22"/>
        <v>1</v>
      </c>
      <c r="O32" s="121">
        <f>市政!P3+其他市报!T44</f>
        <v>49</v>
      </c>
      <c r="P32" s="121">
        <f>市政!Q3+其他市报!U44</f>
        <v>634208.588</v>
      </c>
      <c r="Q32" s="121">
        <f>市政!R3+其他市报!V44</f>
        <v>49</v>
      </c>
      <c r="R32" s="121">
        <f>市政!S3+其他市报!W44</f>
        <v>24</v>
      </c>
      <c r="S32" s="121">
        <f>市政!T3+其他市报!X44</f>
        <v>540520.388</v>
      </c>
      <c r="T32" s="130">
        <f t="shared" si="23"/>
        <v>0.852</v>
      </c>
      <c r="U32" s="86"/>
      <c r="W32" s="127">
        <v>8</v>
      </c>
      <c r="X32" s="127" t="s">
        <v>558</v>
      </c>
      <c r="Y32" s="127">
        <v>48</v>
      </c>
      <c r="Z32" s="127">
        <v>630208.588</v>
      </c>
      <c r="AA32" s="127">
        <v>48</v>
      </c>
      <c r="AB32" s="127">
        <v>630208.588</v>
      </c>
      <c r="AC32" s="141">
        <f t="shared" si="17"/>
        <v>0</v>
      </c>
      <c r="AD32" s="141">
        <f t="shared" si="17"/>
        <v>0</v>
      </c>
      <c r="AE32" s="142">
        <v>0</v>
      </c>
      <c r="AF32" s="142">
        <v>0</v>
      </c>
      <c r="AG32" s="142">
        <v>0</v>
      </c>
      <c r="AH32" s="142">
        <v>0</v>
      </c>
      <c r="AI32" s="149">
        <f t="shared" si="18"/>
        <v>0</v>
      </c>
      <c r="AJ32" s="149">
        <f t="shared" si="18"/>
        <v>0</v>
      </c>
      <c r="AK32" s="150">
        <v>48</v>
      </c>
      <c r="AL32" s="150">
        <v>630208.588</v>
      </c>
      <c r="AM32" s="150">
        <v>48</v>
      </c>
      <c r="AN32" s="150">
        <v>630208.588</v>
      </c>
      <c r="AO32" s="153">
        <f t="shared" si="19"/>
        <v>0</v>
      </c>
      <c r="AP32" s="153">
        <f t="shared" si="19"/>
        <v>0</v>
      </c>
    </row>
    <row r="33" spans="1:42">
      <c r="A33" s="59">
        <v>9</v>
      </c>
      <c r="B33" s="63" t="s">
        <v>488</v>
      </c>
      <c r="C33" s="67">
        <f t="shared" si="20"/>
        <v>9</v>
      </c>
      <c r="D33" s="107">
        <f t="shared" si="20"/>
        <v>69112.49</v>
      </c>
      <c r="E33" s="67">
        <f t="shared" si="20"/>
        <v>9</v>
      </c>
      <c r="F33" s="67">
        <f t="shared" si="20"/>
        <v>6</v>
      </c>
      <c r="G33" s="107">
        <f t="shared" si="20"/>
        <v>36226.9759</v>
      </c>
      <c r="H33" s="105">
        <f t="shared" si="21"/>
        <v>0.524</v>
      </c>
      <c r="I33" s="65">
        <f>文化!I3</f>
        <v>6</v>
      </c>
      <c r="J33" s="120">
        <f>文化!J3</f>
        <v>356</v>
      </c>
      <c r="K33" s="65">
        <f>文化!K3</f>
        <v>6</v>
      </c>
      <c r="L33" s="65">
        <f>文化!L3</f>
        <v>5</v>
      </c>
      <c r="M33" s="120">
        <f>文化!M3</f>
        <v>349.6759</v>
      </c>
      <c r="N33" s="118">
        <f t="shared" si="22"/>
        <v>0.982</v>
      </c>
      <c r="O33" s="121">
        <f>文化!P3+其他市报!T54</f>
        <v>3</v>
      </c>
      <c r="P33" s="121">
        <f>文化!Q3+其他市报!U54</f>
        <v>68756.49</v>
      </c>
      <c r="Q33" s="121">
        <f>文化!R3+其他市报!V54</f>
        <v>3</v>
      </c>
      <c r="R33" s="121">
        <f>文化!S3+其他市报!W54</f>
        <v>1</v>
      </c>
      <c r="S33" s="121">
        <f>文化!T3+其他市报!X54</f>
        <v>35877.3</v>
      </c>
      <c r="T33" s="130">
        <f t="shared" si="23"/>
        <v>0.522</v>
      </c>
      <c r="U33" s="86"/>
      <c r="W33" s="127">
        <v>9</v>
      </c>
      <c r="X33" s="127" t="s">
        <v>488</v>
      </c>
      <c r="Y33" s="127">
        <v>7</v>
      </c>
      <c r="Z33" s="127">
        <v>679</v>
      </c>
      <c r="AA33" s="127">
        <v>7</v>
      </c>
      <c r="AB33" s="127">
        <v>679</v>
      </c>
      <c r="AC33" s="141">
        <f t="shared" si="17"/>
        <v>0</v>
      </c>
      <c r="AD33" s="141">
        <f t="shared" si="17"/>
        <v>0</v>
      </c>
      <c r="AE33" s="142">
        <v>6</v>
      </c>
      <c r="AF33" s="142">
        <v>356</v>
      </c>
      <c r="AG33" s="142">
        <v>6</v>
      </c>
      <c r="AH33" s="142">
        <v>356</v>
      </c>
      <c r="AI33" s="149">
        <f t="shared" si="18"/>
        <v>0</v>
      </c>
      <c r="AJ33" s="149">
        <f t="shared" si="18"/>
        <v>0</v>
      </c>
      <c r="AK33" s="150">
        <v>1</v>
      </c>
      <c r="AL33" s="150">
        <v>323</v>
      </c>
      <c r="AM33" s="150">
        <v>1</v>
      </c>
      <c r="AN33" s="150">
        <v>323</v>
      </c>
      <c r="AO33" s="153">
        <f t="shared" si="19"/>
        <v>0</v>
      </c>
      <c r="AP33" s="153">
        <f t="shared" si="19"/>
        <v>0</v>
      </c>
    </row>
    <row r="34" spans="1:42">
      <c r="A34" s="59">
        <v>10</v>
      </c>
      <c r="B34" s="63" t="s">
        <v>851</v>
      </c>
      <c r="C34" s="67">
        <f t="shared" si="20"/>
        <v>1</v>
      </c>
      <c r="D34" s="107">
        <f t="shared" si="20"/>
        <v>6000</v>
      </c>
      <c r="E34" s="67">
        <f t="shared" si="20"/>
        <v>1</v>
      </c>
      <c r="F34" s="67">
        <f t="shared" si="20"/>
        <v>0</v>
      </c>
      <c r="G34" s="107">
        <f t="shared" si="20"/>
        <v>423</v>
      </c>
      <c r="H34" s="105">
        <f t="shared" si="21"/>
        <v>0.071</v>
      </c>
      <c r="I34" s="65">
        <f>文物!I3</f>
        <v>0</v>
      </c>
      <c r="J34" s="120">
        <f>文物!J3</f>
        <v>0</v>
      </c>
      <c r="K34" s="65">
        <f>文物!K3</f>
        <v>0</v>
      </c>
      <c r="L34" s="65">
        <f>文物!L3</f>
        <v>0</v>
      </c>
      <c r="M34" s="120">
        <f>文物!M3</f>
        <v>0</v>
      </c>
      <c r="N34" s="118" t="str">
        <f t="shared" si="22"/>
        <v>-</v>
      </c>
      <c r="O34" s="121">
        <f>文物!P3</f>
        <v>1</v>
      </c>
      <c r="P34" s="121">
        <f>文物!Q3</f>
        <v>6000</v>
      </c>
      <c r="Q34" s="121">
        <f>文物!R3</f>
        <v>1</v>
      </c>
      <c r="R34" s="121">
        <f>文物!S3</f>
        <v>0</v>
      </c>
      <c r="S34" s="121">
        <f>文物!T3</f>
        <v>423</v>
      </c>
      <c r="T34" s="130">
        <f t="shared" si="23"/>
        <v>0.071</v>
      </c>
      <c r="U34" s="86"/>
      <c r="W34" s="127">
        <v>10</v>
      </c>
      <c r="X34" s="127" t="s">
        <v>851</v>
      </c>
      <c r="Y34" s="127">
        <v>1</v>
      </c>
      <c r="Z34" s="127">
        <v>6000</v>
      </c>
      <c r="AA34" s="127">
        <v>1</v>
      </c>
      <c r="AB34" s="127">
        <v>6000</v>
      </c>
      <c r="AC34" s="141">
        <f t="shared" si="17"/>
        <v>0</v>
      </c>
      <c r="AD34" s="141">
        <f t="shared" si="17"/>
        <v>0</v>
      </c>
      <c r="AE34" s="142">
        <v>0</v>
      </c>
      <c r="AF34" s="142">
        <v>0</v>
      </c>
      <c r="AG34" s="142">
        <v>0</v>
      </c>
      <c r="AH34" s="142">
        <v>0</v>
      </c>
      <c r="AI34" s="149">
        <f t="shared" si="18"/>
        <v>0</v>
      </c>
      <c r="AJ34" s="149">
        <f t="shared" si="18"/>
        <v>0</v>
      </c>
      <c r="AK34" s="150">
        <v>1</v>
      </c>
      <c r="AL34" s="150">
        <v>6000</v>
      </c>
      <c r="AM34" s="150">
        <v>1</v>
      </c>
      <c r="AN34" s="150">
        <v>6000</v>
      </c>
      <c r="AO34" s="153">
        <f t="shared" si="19"/>
        <v>0</v>
      </c>
      <c r="AP34" s="153">
        <f t="shared" si="19"/>
        <v>0</v>
      </c>
    </row>
    <row r="35" spans="1:42">
      <c r="A35" s="59">
        <v>11</v>
      </c>
      <c r="B35" s="63" t="s">
        <v>1126</v>
      </c>
      <c r="C35" s="67">
        <f t="shared" si="20"/>
        <v>2</v>
      </c>
      <c r="D35" s="107">
        <f t="shared" si="20"/>
        <v>17183.31</v>
      </c>
      <c r="E35" s="67">
        <f t="shared" si="20"/>
        <v>2</v>
      </c>
      <c r="F35" s="67">
        <f t="shared" si="20"/>
        <v>2</v>
      </c>
      <c r="G35" s="107">
        <f t="shared" si="20"/>
        <v>17183.31</v>
      </c>
      <c r="H35" s="105">
        <f t="shared" si="21"/>
        <v>1</v>
      </c>
      <c r="I35" s="65">
        <f>应急!I3</f>
        <v>2</v>
      </c>
      <c r="J35" s="120">
        <f>应急!J3</f>
        <v>17183.31</v>
      </c>
      <c r="K35" s="65">
        <f>应急!K3</f>
        <v>2</v>
      </c>
      <c r="L35" s="65">
        <f>应急!L3</f>
        <v>2</v>
      </c>
      <c r="M35" s="120">
        <f>应急!M3</f>
        <v>17183.31</v>
      </c>
      <c r="N35" s="118">
        <f t="shared" si="22"/>
        <v>1</v>
      </c>
      <c r="O35" s="121">
        <f>应急!P3</f>
        <v>0</v>
      </c>
      <c r="P35" s="121">
        <f>应急!Q3</f>
        <v>0</v>
      </c>
      <c r="Q35" s="121">
        <f>应急!R3</f>
        <v>0</v>
      </c>
      <c r="R35" s="121">
        <f>应急!S3</f>
        <v>0</v>
      </c>
      <c r="S35" s="121">
        <f>应急!T3</f>
        <v>0</v>
      </c>
      <c r="T35" s="130" t="str">
        <f t="shared" si="23"/>
        <v>-</v>
      </c>
      <c r="U35" s="86"/>
      <c r="W35" s="127">
        <v>11</v>
      </c>
      <c r="X35" s="127" t="s">
        <v>1126</v>
      </c>
      <c r="Y35" s="127">
        <v>2</v>
      </c>
      <c r="Z35" s="127">
        <v>48183.31</v>
      </c>
      <c r="AA35" s="127">
        <v>2</v>
      </c>
      <c r="AB35" s="127">
        <v>17183.31</v>
      </c>
      <c r="AC35" s="141">
        <f t="shared" si="17"/>
        <v>0</v>
      </c>
      <c r="AD35" s="141">
        <f t="shared" si="17"/>
        <v>31000</v>
      </c>
      <c r="AE35" s="142">
        <v>2</v>
      </c>
      <c r="AF35" s="142">
        <v>48183.31</v>
      </c>
      <c r="AG35" s="142">
        <v>2</v>
      </c>
      <c r="AH35" s="142">
        <v>17183.31</v>
      </c>
      <c r="AI35" s="149">
        <f t="shared" si="18"/>
        <v>0</v>
      </c>
      <c r="AJ35" s="149">
        <f t="shared" si="18"/>
        <v>31000</v>
      </c>
      <c r="AK35" s="150">
        <v>0</v>
      </c>
      <c r="AL35" s="150">
        <v>0</v>
      </c>
      <c r="AM35" s="150">
        <v>0</v>
      </c>
      <c r="AN35" s="150">
        <v>0</v>
      </c>
      <c r="AO35" s="153">
        <f t="shared" si="19"/>
        <v>0</v>
      </c>
      <c r="AP35" s="153">
        <f t="shared" si="19"/>
        <v>0</v>
      </c>
    </row>
    <row r="36" spans="1:42">
      <c r="A36" s="59">
        <v>12</v>
      </c>
      <c r="B36" s="63" t="s">
        <v>223</v>
      </c>
      <c r="C36" s="67">
        <f t="shared" si="20"/>
        <v>110</v>
      </c>
      <c r="D36" s="107">
        <f t="shared" si="20"/>
        <v>2157.24</v>
      </c>
      <c r="E36" s="67">
        <f t="shared" si="20"/>
        <v>110</v>
      </c>
      <c r="F36" s="67">
        <f t="shared" si="20"/>
        <v>110</v>
      </c>
      <c r="G36" s="107">
        <f t="shared" si="20"/>
        <v>2157.24</v>
      </c>
      <c r="H36" s="105">
        <f t="shared" si="21"/>
        <v>1</v>
      </c>
      <c r="I36" s="65">
        <f>乡村振兴!I3</f>
        <v>99</v>
      </c>
      <c r="J36" s="120">
        <f>乡村振兴!J3</f>
        <v>2150.18</v>
      </c>
      <c r="K36" s="65">
        <f>乡村振兴!K3</f>
        <v>99</v>
      </c>
      <c r="L36" s="65">
        <f>乡村振兴!L3</f>
        <v>99</v>
      </c>
      <c r="M36" s="120">
        <f>乡村振兴!M3</f>
        <v>2150.18</v>
      </c>
      <c r="N36" s="118">
        <f t="shared" si="22"/>
        <v>1</v>
      </c>
      <c r="O36" s="121">
        <f>乡村振兴!P3</f>
        <v>11</v>
      </c>
      <c r="P36" s="121">
        <f>乡村振兴!Q3</f>
        <v>7.06</v>
      </c>
      <c r="Q36" s="121">
        <f>乡村振兴!R3</f>
        <v>11</v>
      </c>
      <c r="R36" s="121">
        <f>乡村振兴!S3</f>
        <v>11</v>
      </c>
      <c r="S36" s="121">
        <f>乡村振兴!T3</f>
        <v>7.06</v>
      </c>
      <c r="T36" s="130">
        <f t="shared" si="23"/>
        <v>1</v>
      </c>
      <c r="U36" s="67"/>
      <c r="W36" s="127">
        <v>12</v>
      </c>
      <c r="X36" s="127" t="s">
        <v>223</v>
      </c>
      <c r="Y36" s="127">
        <v>110</v>
      </c>
      <c r="Z36" s="127">
        <v>2157.24</v>
      </c>
      <c r="AA36" s="127">
        <v>110</v>
      </c>
      <c r="AB36" s="127">
        <v>2157.24</v>
      </c>
      <c r="AC36" s="141">
        <f t="shared" si="17"/>
        <v>0</v>
      </c>
      <c r="AD36" s="141">
        <f t="shared" si="17"/>
        <v>0</v>
      </c>
      <c r="AE36" s="142">
        <v>99</v>
      </c>
      <c r="AF36" s="142">
        <v>2150.18</v>
      </c>
      <c r="AG36" s="142">
        <v>99</v>
      </c>
      <c r="AH36" s="142">
        <v>2150.18</v>
      </c>
      <c r="AI36" s="149">
        <f t="shared" si="18"/>
        <v>0</v>
      </c>
      <c r="AJ36" s="149">
        <f t="shared" si="18"/>
        <v>0</v>
      </c>
      <c r="AK36" s="150">
        <v>11</v>
      </c>
      <c r="AL36" s="150">
        <v>7.06</v>
      </c>
      <c r="AM36" s="150">
        <v>11</v>
      </c>
      <c r="AN36" s="150">
        <v>7.06</v>
      </c>
      <c r="AO36" s="153">
        <f t="shared" si="19"/>
        <v>0</v>
      </c>
      <c r="AP36" s="153">
        <f t="shared" si="19"/>
        <v>0</v>
      </c>
    </row>
    <row r="37" spans="1:42">
      <c r="A37" s="59">
        <v>13</v>
      </c>
      <c r="B37" s="63" t="s">
        <v>413</v>
      </c>
      <c r="C37" s="67">
        <f t="shared" si="20"/>
        <v>14</v>
      </c>
      <c r="D37" s="107">
        <f t="shared" si="20"/>
        <v>59770.26</v>
      </c>
      <c r="E37" s="67">
        <f t="shared" si="20"/>
        <v>14</v>
      </c>
      <c r="F37" s="67">
        <f t="shared" si="20"/>
        <v>6</v>
      </c>
      <c r="G37" s="107">
        <f t="shared" si="20"/>
        <v>53225.13</v>
      </c>
      <c r="H37" s="105">
        <f t="shared" si="21"/>
        <v>0.89</v>
      </c>
      <c r="I37" s="65">
        <f>民政!I3</f>
        <v>2</v>
      </c>
      <c r="J37" s="120">
        <f>民政!J3</f>
        <v>500</v>
      </c>
      <c r="K37" s="65">
        <f>民政!K3</f>
        <v>2</v>
      </c>
      <c r="L37" s="65">
        <f>民政!L3</f>
        <v>1</v>
      </c>
      <c r="M37" s="120">
        <f>民政!M3</f>
        <v>367.87</v>
      </c>
      <c r="N37" s="118">
        <f t="shared" si="22"/>
        <v>0.736</v>
      </c>
      <c r="O37" s="121">
        <f>民政!P3+其他市报!T49</f>
        <v>12</v>
      </c>
      <c r="P37" s="121">
        <f>民政!Q3+其他市报!U49</f>
        <v>59270.26</v>
      </c>
      <c r="Q37" s="121">
        <f>民政!R3+其他市报!V49</f>
        <v>12</v>
      </c>
      <c r="R37" s="121">
        <f>民政!S3+其他市报!W49</f>
        <v>5</v>
      </c>
      <c r="S37" s="121">
        <f>民政!T3+其他市报!X49</f>
        <v>52857.26</v>
      </c>
      <c r="T37" s="130">
        <f t="shared" si="23"/>
        <v>0.892</v>
      </c>
      <c r="U37" s="86"/>
      <c r="W37" s="127">
        <v>13</v>
      </c>
      <c r="X37" s="127" t="s">
        <v>413</v>
      </c>
      <c r="Y37" s="127">
        <v>13</v>
      </c>
      <c r="Z37" s="127">
        <v>52602.26</v>
      </c>
      <c r="AA37" s="127">
        <v>13</v>
      </c>
      <c r="AB37" s="127">
        <v>52917.26</v>
      </c>
      <c r="AC37" s="141">
        <f t="shared" si="17"/>
        <v>0</v>
      </c>
      <c r="AD37" s="141">
        <f t="shared" si="17"/>
        <v>-315</v>
      </c>
      <c r="AE37" s="142">
        <v>2</v>
      </c>
      <c r="AF37" s="142">
        <v>500</v>
      </c>
      <c r="AG37" s="142">
        <v>2</v>
      </c>
      <c r="AH37" s="142">
        <v>500</v>
      </c>
      <c r="AI37" s="149">
        <f t="shared" si="18"/>
        <v>0</v>
      </c>
      <c r="AJ37" s="149">
        <f t="shared" si="18"/>
        <v>0</v>
      </c>
      <c r="AK37" s="150">
        <v>11</v>
      </c>
      <c r="AL37" s="150">
        <v>52102.26</v>
      </c>
      <c r="AM37" s="150">
        <v>11</v>
      </c>
      <c r="AN37" s="150">
        <v>52417.26</v>
      </c>
      <c r="AO37" s="153">
        <f t="shared" si="19"/>
        <v>0</v>
      </c>
      <c r="AP37" s="153">
        <f t="shared" si="19"/>
        <v>-315</v>
      </c>
    </row>
    <row r="38" spans="1:42">
      <c r="A38" s="59">
        <v>14</v>
      </c>
      <c r="B38" s="63" t="s">
        <v>215</v>
      </c>
      <c r="C38" s="67">
        <f t="shared" si="20"/>
        <v>8</v>
      </c>
      <c r="D38" s="107">
        <f t="shared" si="20"/>
        <v>83.3</v>
      </c>
      <c r="E38" s="67">
        <f t="shared" si="20"/>
        <v>8</v>
      </c>
      <c r="F38" s="67">
        <f t="shared" si="20"/>
        <v>8</v>
      </c>
      <c r="G38" s="107">
        <f t="shared" si="20"/>
        <v>83.3</v>
      </c>
      <c r="H38" s="105">
        <f t="shared" si="21"/>
        <v>1</v>
      </c>
      <c r="I38" s="65">
        <f>能源!I3</f>
        <v>8</v>
      </c>
      <c r="J38" s="120">
        <f>能源!J3</f>
        <v>83.3</v>
      </c>
      <c r="K38" s="65">
        <f>能源!K3</f>
        <v>8</v>
      </c>
      <c r="L38" s="65">
        <f>能源!L3</f>
        <v>8</v>
      </c>
      <c r="M38" s="120">
        <f>能源!M3</f>
        <v>83.3</v>
      </c>
      <c r="N38" s="118">
        <f t="shared" si="22"/>
        <v>1</v>
      </c>
      <c r="O38" s="121">
        <f>能源!P3</f>
        <v>0</v>
      </c>
      <c r="P38" s="121">
        <f>能源!Q3</f>
        <v>0</v>
      </c>
      <c r="Q38" s="121">
        <f>能源!R3</f>
        <v>0</v>
      </c>
      <c r="R38" s="121">
        <f>能源!S3</f>
        <v>0</v>
      </c>
      <c r="S38" s="121">
        <f>能源!T3</f>
        <v>0</v>
      </c>
      <c r="T38" s="130" t="str">
        <f t="shared" si="23"/>
        <v>-</v>
      </c>
      <c r="U38" s="86"/>
      <c r="W38" s="127">
        <v>14</v>
      </c>
      <c r="X38" s="127" t="s">
        <v>215</v>
      </c>
      <c r="Y38" s="127">
        <v>8</v>
      </c>
      <c r="Z38" s="127">
        <v>83.3</v>
      </c>
      <c r="AA38" s="127">
        <v>8</v>
      </c>
      <c r="AB38" s="127">
        <v>83.3</v>
      </c>
      <c r="AC38" s="141">
        <f t="shared" si="17"/>
        <v>0</v>
      </c>
      <c r="AD38" s="141">
        <f t="shared" si="17"/>
        <v>0</v>
      </c>
      <c r="AE38" s="142">
        <v>8</v>
      </c>
      <c r="AF38" s="142">
        <v>83.3</v>
      </c>
      <c r="AG38" s="142">
        <v>8</v>
      </c>
      <c r="AH38" s="142">
        <v>83.3</v>
      </c>
      <c r="AI38" s="149">
        <f t="shared" si="18"/>
        <v>0</v>
      </c>
      <c r="AJ38" s="149">
        <f t="shared" si="18"/>
        <v>0</v>
      </c>
      <c r="AK38" s="150">
        <v>0</v>
      </c>
      <c r="AL38" s="150">
        <v>0</v>
      </c>
      <c r="AM38" s="150">
        <v>0</v>
      </c>
      <c r="AN38" s="150">
        <v>0</v>
      </c>
      <c r="AO38" s="153">
        <f t="shared" si="19"/>
        <v>0</v>
      </c>
      <c r="AP38" s="153">
        <f t="shared" si="19"/>
        <v>0</v>
      </c>
    </row>
    <row r="39" spans="1:42">
      <c r="A39" s="59">
        <v>15</v>
      </c>
      <c r="B39" s="63" t="s">
        <v>880</v>
      </c>
      <c r="C39" s="67">
        <f t="shared" si="20"/>
        <v>72</v>
      </c>
      <c r="D39" s="107">
        <f t="shared" si="20"/>
        <v>1832.1002</v>
      </c>
      <c r="E39" s="67">
        <f t="shared" si="20"/>
        <v>72</v>
      </c>
      <c r="F39" s="67">
        <f t="shared" si="20"/>
        <v>72</v>
      </c>
      <c r="G39" s="107">
        <f t="shared" si="20"/>
        <v>1832.1002</v>
      </c>
      <c r="H39" s="105">
        <f t="shared" si="21"/>
        <v>1</v>
      </c>
      <c r="I39" s="65">
        <f>产业!I3</f>
        <v>0</v>
      </c>
      <c r="J39" s="120">
        <f>产业!J3</f>
        <v>0</v>
      </c>
      <c r="K39" s="65">
        <f>产业!K3</f>
        <v>0</v>
      </c>
      <c r="L39" s="65">
        <f>产业!L3</f>
        <v>0</v>
      </c>
      <c r="M39" s="120">
        <f>产业!M3</f>
        <v>0</v>
      </c>
      <c r="N39" s="118" t="str">
        <f t="shared" si="22"/>
        <v>-</v>
      </c>
      <c r="O39" s="121">
        <f>产业!P3</f>
        <v>72</v>
      </c>
      <c r="P39" s="121">
        <f>产业!Q3</f>
        <v>1832.1002</v>
      </c>
      <c r="Q39" s="121">
        <f>产业!R3</f>
        <v>72</v>
      </c>
      <c r="R39" s="121">
        <f>产业!S3</f>
        <v>72</v>
      </c>
      <c r="S39" s="121">
        <f>产业!T3</f>
        <v>1832.1002</v>
      </c>
      <c r="T39" s="130">
        <f t="shared" si="23"/>
        <v>1</v>
      </c>
      <c r="U39" s="87"/>
      <c r="W39" s="127">
        <v>15</v>
      </c>
      <c r="X39" s="127" t="s">
        <v>880</v>
      </c>
      <c r="Y39" s="127">
        <v>72</v>
      </c>
      <c r="Z39" s="127">
        <v>1832.1002</v>
      </c>
      <c r="AA39" s="127">
        <v>72</v>
      </c>
      <c r="AB39" s="127">
        <v>1832.1002</v>
      </c>
      <c r="AC39" s="141">
        <f t="shared" si="17"/>
        <v>0</v>
      </c>
      <c r="AD39" s="141">
        <f t="shared" si="17"/>
        <v>0</v>
      </c>
      <c r="AE39" s="142">
        <v>0</v>
      </c>
      <c r="AF39" s="142">
        <v>0</v>
      </c>
      <c r="AG39" s="142">
        <v>0</v>
      </c>
      <c r="AH39" s="142">
        <v>0</v>
      </c>
      <c r="AI39" s="149">
        <f t="shared" si="18"/>
        <v>0</v>
      </c>
      <c r="AJ39" s="149">
        <f t="shared" si="18"/>
        <v>0</v>
      </c>
      <c r="AK39" s="150">
        <v>72</v>
      </c>
      <c r="AL39" s="150">
        <v>1832.1002</v>
      </c>
      <c r="AM39" s="150">
        <v>72</v>
      </c>
      <c r="AN39" s="150">
        <v>1832.1002</v>
      </c>
      <c r="AO39" s="153">
        <f t="shared" si="19"/>
        <v>0</v>
      </c>
      <c r="AP39" s="153">
        <f t="shared" si="19"/>
        <v>0</v>
      </c>
    </row>
    <row r="40" spans="1:42">
      <c r="A40" s="59">
        <v>16</v>
      </c>
      <c r="B40" s="63" t="s">
        <v>872</v>
      </c>
      <c r="C40" s="67">
        <f t="shared" si="20"/>
        <v>2</v>
      </c>
      <c r="D40" s="107">
        <f t="shared" si="20"/>
        <v>18815</v>
      </c>
      <c r="E40" s="67">
        <f t="shared" si="20"/>
        <v>2</v>
      </c>
      <c r="F40" s="67">
        <f t="shared" si="20"/>
        <v>1</v>
      </c>
      <c r="G40" s="107">
        <f t="shared" si="20"/>
        <v>6200</v>
      </c>
      <c r="H40" s="105">
        <f t="shared" si="21"/>
        <v>0.33</v>
      </c>
      <c r="I40" s="65">
        <f>粮食!I3</f>
        <v>0</v>
      </c>
      <c r="J40" s="120">
        <f>粮食!J3</f>
        <v>0</v>
      </c>
      <c r="K40" s="65">
        <f>粮食!K3</f>
        <v>0</v>
      </c>
      <c r="L40" s="65">
        <f>粮食!L3</f>
        <v>0</v>
      </c>
      <c r="M40" s="120">
        <f>粮食!M3</f>
        <v>0</v>
      </c>
      <c r="N40" s="118" t="str">
        <f t="shared" si="22"/>
        <v>-</v>
      </c>
      <c r="O40" s="121">
        <f>粮食!P3</f>
        <v>2</v>
      </c>
      <c r="P40" s="121">
        <f>粮食!Q3</f>
        <v>18815</v>
      </c>
      <c r="Q40" s="121">
        <f>粮食!R3</f>
        <v>2</v>
      </c>
      <c r="R40" s="121">
        <f>粮食!S3</f>
        <v>1</v>
      </c>
      <c r="S40" s="121">
        <f>粮食!T3</f>
        <v>6200</v>
      </c>
      <c r="T40" s="130">
        <f t="shared" si="23"/>
        <v>0.33</v>
      </c>
      <c r="U40" s="85"/>
      <c r="W40" s="127">
        <v>16</v>
      </c>
      <c r="X40" s="127" t="s">
        <v>872</v>
      </c>
      <c r="Y40" s="127">
        <v>2</v>
      </c>
      <c r="Z40" s="127">
        <v>18815</v>
      </c>
      <c r="AA40" s="127">
        <v>2</v>
      </c>
      <c r="AB40" s="127">
        <v>18815</v>
      </c>
      <c r="AC40" s="141">
        <f t="shared" si="17"/>
        <v>0</v>
      </c>
      <c r="AD40" s="141">
        <f t="shared" si="17"/>
        <v>0</v>
      </c>
      <c r="AE40" s="142">
        <v>0</v>
      </c>
      <c r="AF40" s="142">
        <v>0</v>
      </c>
      <c r="AG40" s="142">
        <v>0</v>
      </c>
      <c r="AH40" s="142">
        <v>0</v>
      </c>
      <c r="AI40" s="149">
        <f t="shared" si="18"/>
        <v>0</v>
      </c>
      <c r="AJ40" s="149">
        <f t="shared" si="18"/>
        <v>0</v>
      </c>
      <c r="AK40" s="150">
        <v>2</v>
      </c>
      <c r="AL40" s="150">
        <v>18815</v>
      </c>
      <c r="AM40" s="150">
        <v>2</v>
      </c>
      <c r="AN40" s="150">
        <v>18815</v>
      </c>
      <c r="AO40" s="153">
        <f t="shared" si="19"/>
        <v>0</v>
      </c>
      <c r="AP40" s="153">
        <f t="shared" si="19"/>
        <v>0</v>
      </c>
    </row>
    <row r="41" spans="1:42">
      <c r="A41" s="59">
        <v>17</v>
      </c>
      <c r="B41" s="63" t="s">
        <v>1030</v>
      </c>
      <c r="C41" s="67">
        <f t="shared" si="20"/>
        <v>1</v>
      </c>
      <c r="D41" s="107">
        <f t="shared" si="20"/>
        <v>26.28</v>
      </c>
      <c r="E41" s="67">
        <f t="shared" si="20"/>
        <v>1</v>
      </c>
      <c r="F41" s="67">
        <f t="shared" si="20"/>
        <v>1</v>
      </c>
      <c r="G41" s="107">
        <f t="shared" si="20"/>
        <v>26.28</v>
      </c>
      <c r="H41" s="105">
        <f t="shared" si="21"/>
        <v>1</v>
      </c>
      <c r="I41" s="65">
        <f>生态!I3</f>
        <v>0</v>
      </c>
      <c r="J41" s="120">
        <f>生态!J3</f>
        <v>0</v>
      </c>
      <c r="K41" s="65">
        <f>生态!K3</f>
        <v>0</v>
      </c>
      <c r="L41" s="65">
        <f>生态!L3</f>
        <v>0</v>
      </c>
      <c r="M41" s="120">
        <f>生态!M3</f>
        <v>0</v>
      </c>
      <c r="N41" s="118" t="str">
        <f t="shared" si="22"/>
        <v>-</v>
      </c>
      <c r="O41" s="121">
        <f>生态!P3</f>
        <v>1</v>
      </c>
      <c r="P41" s="121">
        <f>生态!Q3</f>
        <v>26.28</v>
      </c>
      <c r="Q41" s="121">
        <f>生态!R3</f>
        <v>1</v>
      </c>
      <c r="R41" s="121">
        <f>生态!S3</f>
        <v>1</v>
      </c>
      <c r="S41" s="121">
        <f>生态!T3</f>
        <v>26.28</v>
      </c>
      <c r="T41" s="130">
        <f t="shared" si="23"/>
        <v>1</v>
      </c>
      <c r="U41" s="86"/>
      <c r="W41" s="127">
        <v>17</v>
      </c>
      <c r="X41" s="127" t="s">
        <v>1030</v>
      </c>
      <c r="Y41" s="127">
        <v>1</v>
      </c>
      <c r="Z41" s="127">
        <v>26.28</v>
      </c>
      <c r="AA41" s="127">
        <v>1</v>
      </c>
      <c r="AB41" s="127">
        <v>26.28</v>
      </c>
      <c r="AC41" s="141">
        <f t="shared" si="17"/>
        <v>0</v>
      </c>
      <c r="AD41" s="141">
        <f t="shared" si="17"/>
        <v>0</v>
      </c>
      <c r="AE41" s="142">
        <v>0</v>
      </c>
      <c r="AF41" s="142">
        <v>0</v>
      </c>
      <c r="AG41" s="142">
        <v>0</v>
      </c>
      <c r="AH41" s="142">
        <v>0</v>
      </c>
      <c r="AI41" s="149">
        <f t="shared" si="18"/>
        <v>0</v>
      </c>
      <c r="AJ41" s="149">
        <f t="shared" si="18"/>
        <v>0</v>
      </c>
      <c r="AK41" s="150">
        <v>1</v>
      </c>
      <c r="AL41" s="150">
        <v>26.28</v>
      </c>
      <c r="AM41" s="150">
        <v>1</v>
      </c>
      <c r="AN41" s="150">
        <v>26.28</v>
      </c>
      <c r="AO41" s="153">
        <f t="shared" si="19"/>
        <v>0</v>
      </c>
      <c r="AP41" s="153">
        <f t="shared" si="19"/>
        <v>0</v>
      </c>
    </row>
    <row r="42" spans="1:42">
      <c r="A42" s="59">
        <v>18</v>
      </c>
      <c r="B42" s="63" t="s">
        <v>1027</v>
      </c>
      <c r="C42" s="67">
        <f t="shared" si="20"/>
        <v>1</v>
      </c>
      <c r="D42" s="107">
        <f t="shared" si="20"/>
        <v>20</v>
      </c>
      <c r="E42" s="67">
        <f t="shared" si="20"/>
        <v>1</v>
      </c>
      <c r="F42" s="67">
        <f t="shared" si="20"/>
        <v>1</v>
      </c>
      <c r="G42" s="107">
        <f t="shared" si="20"/>
        <v>20</v>
      </c>
      <c r="H42" s="105">
        <f t="shared" si="21"/>
        <v>1</v>
      </c>
      <c r="I42" s="65">
        <f>商超!I3</f>
        <v>0</v>
      </c>
      <c r="J42" s="120">
        <f>商超!J3</f>
        <v>0</v>
      </c>
      <c r="K42" s="65">
        <f>商超!K3</f>
        <v>0</v>
      </c>
      <c r="L42" s="65">
        <f>商超!L3</f>
        <v>0</v>
      </c>
      <c r="M42" s="120">
        <f>商超!M3</f>
        <v>0</v>
      </c>
      <c r="N42" s="118" t="str">
        <f t="shared" si="22"/>
        <v>-</v>
      </c>
      <c r="O42" s="121">
        <f>商超!P3</f>
        <v>1</v>
      </c>
      <c r="P42" s="121">
        <f>商超!Q3</f>
        <v>20</v>
      </c>
      <c r="Q42" s="121">
        <f>商超!R3</f>
        <v>1</v>
      </c>
      <c r="R42" s="121">
        <f>商超!S3</f>
        <v>1</v>
      </c>
      <c r="S42" s="121">
        <f>商超!T3</f>
        <v>20</v>
      </c>
      <c r="T42" s="130">
        <f t="shared" si="23"/>
        <v>1</v>
      </c>
      <c r="U42" s="86"/>
      <c r="W42" s="127">
        <v>18</v>
      </c>
      <c r="X42" s="127" t="s">
        <v>1027</v>
      </c>
      <c r="Y42" s="127">
        <v>1</v>
      </c>
      <c r="Z42" s="127">
        <v>20</v>
      </c>
      <c r="AA42" s="127">
        <v>1</v>
      </c>
      <c r="AB42" s="127">
        <v>20</v>
      </c>
      <c r="AC42" s="141">
        <f t="shared" si="17"/>
        <v>0</v>
      </c>
      <c r="AD42" s="141">
        <f t="shared" si="17"/>
        <v>0</v>
      </c>
      <c r="AE42" s="142">
        <v>0</v>
      </c>
      <c r="AF42" s="142">
        <v>0</v>
      </c>
      <c r="AG42" s="142">
        <v>0</v>
      </c>
      <c r="AH42" s="142">
        <v>0</v>
      </c>
      <c r="AI42" s="149">
        <f t="shared" si="18"/>
        <v>0</v>
      </c>
      <c r="AJ42" s="149">
        <f t="shared" si="18"/>
        <v>0</v>
      </c>
      <c r="AK42" s="150">
        <v>1</v>
      </c>
      <c r="AL42" s="150">
        <v>20</v>
      </c>
      <c r="AM42" s="150">
        <v>1</v>
      </c>
      <c r="AN42" s="150">
        <v>20</v>
      </c>
      <c r="AO42" s="153">
        <f t="shared" si="19"/>
        <v>0</v>
      </c>
      <c r="AP42" s="153">
        <f t="shared" si="19"/>
        <v>0</v>
      </c>
    </row>
    <row r="43" spans="1:20">
      <c r="A43" t="s">
        <v>1127</v>
      </c>
      <c r="B43" s="108" t="s">
        <v>491</v>
      </c>
      <c r="C43" s="109">
        <f>C33+C34</f>
        <v>10</v>
      </c>
      <c r="D43" s="109">
        <f t="shared" ref="D43:G43" si="24">D33+D34</f>
        <v>75112.49</v>
      </c>
      <c r="E43" s="109">
        <f t="shared" si="24"/>
        <v>10</v>
      </c>
      <c r="F43" s="109">
        <f t="shared" si="24"/>
        <v>6</v>
      </c>
      <c r="G43" s="109">
        <f t="shared" si="24"/>
        <v>36649.9759</v>
      </c>
      <c r="H43" s="110">
        <f t="shared" si="21"/>
        <v>0.488</v>
      </c>
      <c r="I43" s="109">
        <f>I33+I34</f>
        <v>6</v>
      </c>
      <c r="J43" s="109">
        <f t="shared" ref="J43:M43" si="25">J33+J34</f>
        <v>356</v>
      </c>
      <c r="K43" s="109">
        <f t="shared" si="25"/>
        <v>6</v>
      </c>
      <c r="L43" s="109">
        <f t="shared" si="25"/>
        <v>5</v>
      </c>
      <c r="M43" s="109">
        <f t="shared" si="25"/>
        <v>349.6759</v>
      </c>
      <c r="N43" s="110">
        <f t="shared" si="22"/>
        <v>0.982</v>
      </c>
      <c r="O43" s="109">
        <f>O33+O34</f>
        <v>4</v>
      </c>
      <c r="P43" s="109">
        <f t="shared" ref="P43:S43" si="26">P33+P34</f>
        <v>74756.49</v>
      </c>
      <c r="Q43" s="109">
        <f t="shared" si="26"/>
        <v>4</v>
      </c>
      <c r="R43" s="109">
        <f t="shared" si="26"/>
        <v>1</v>
      </c>
      <c r="S43" s="109">
        <f t="shared" si="26"/>
        <v>36300.3</v>
      </c>
      <c r="T43" s="110">
        <f t="shared" si="23"/>
        <v>0.486</v>
      </c>
    </row>
  </sheetData>
  <sheetProtection formatCells="0" formatColumns="0" formatRows="0"/>
  <mergeCells count="54">
    <mergeCell ref="A1:U1"/>
    <mergeCell ref="A2:C2"/>
    <mergeCell ref="F2:G2"/>
    <mergeCell ref="I2:K2"/>
    <mergeCell ref="L2:U2"/>
    <mergeCell ref="C3:G3"/>
    <mergeCell ref="I3:N3"/>
    <mergeCell ref="O3:S3"/>
    <mergeCell ref="Y3:AD3"/>
    <mergeCell ref="AE3:AJ3"/>
    <mergeCell ref="AK3:AP3"/>
    <mergeCell ref="C4:D4"/>
    <mergeCell ref="E4:G4"/>
    <mergeCell ref="I4:J4"/>
    <mergeCell ref="K4:M4"/>
    <mergeCell ref="O4:P4"/>
    <mergeCell ref="Q4:S4"/>
    <mergeCell ref="Y4:Z4"/>
    <mergeCell ref="AA4:AB4"/>
    <mergeCell ref="AC4:AD4"/>
    <mergeCell ref="AE4:AF4"/>
    <mergeCell ref="AG4:AH4"/>
    <mergeCell ref="AI4:AJ4"/>
    <mergeCell ref="AK4:AL4"/>
    <mergeCell ref="AM4:AN4"/>
    <mergeCell ref="AO4:AP4"/>
    <mergeCell ref="A20:U20"/>
    <mergeCell ref="C21:G21"/>
    <mergeCell ref="I21:N21"/>
    <mergeCell ref="O21:T21"/>
    <mergeCell ref="Y21:AD21"/>
    <mergeCell ref="AE21:AJ21"/>
    <mergeCell ref="AK21:AP21"/>
    <mergeCell ref="C22:D22"/>
    <mergeCell ref="E22:G22"/>
    <mergeCell ref="I22:J22"/>
    <mergeCell ref="K22:M22"/>
    <mergeCell ref="O22:P22"/>
    <mergeCell ref="Q22:S22"/>
    <mergeCell ref="Y22:Z22"/>
    <mergeCell ref="AA22:AB22"/>
    <mergeCell ref="AC22:AD22"/>
    <mergeCell ref="AE22:AF22"/>
    <mergeCell ref="AG22:AH22"/>
    <mergeCell ref="AI22:AJ22"/>
    <mergeCell ref="AK22:AL22"/>
    <mergeCell ref="AM22:AN22"/>
    <mergeCell ref="AO22:AP22"/>
    <mergeCell ref="A3:A5"/>
    <mergeCell ref="A21:A23"/>
    <mergeCell ref="B3:B5"/>
    <mergeCell ref="B21:B23"/>
    <mergeCell ref="U3:U5"/>
    <mergeCell ref="U21:U2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71"/>
  <sheetViews>
    <sheetView workbookViewId="0">
      <selection activeCell="D4" sqref="D4"/>
    </sheetView>
  </sheetViews>
  <sheetFormatPr defaultColWidth="9" defaultRowHeight="13.5"/>
  <cols>
    <col min="2" max="2" width="13.1833333333333" customWidth="1"/>
    <col min="13" max="14" width="11.3666666666667" customWidth="1"/>
    <col min="20" max="20" width="13.1833333333333" customWidth="1"/>
    <col min="24" max="24" width="9.54166666666667" customWidth="1"/>
    <col min="25" max="25" width="11.3666666666667" customWidth="1"/>
    <col min="26" max="26" width="9.26666666666667" customWidth="1"/>
  </cols>
  <sheetData>
    <row r="1" ht="14.15" customHeight="1" spans="1:28">
      <c r="A1" s="2" t="s">
        <v>1137</v>
      </c>
      <c r="B1" s="3"/>
      <c r="C1" s="3"/>
      <c r="D1" s="3"/>
      <c r="E1" s="3"/>
      <c r="F1" s="3"/>
      <c r="G1" s="4"/>
      <c r="H1" s="5" t="s">
        <v>1138</v>
      </c>
      <c r="I1" s="5"/>
      <c r="J1" s="5"/>
      <c r="K1" s="5"/>
      <c r="L1" s="5"/>
      <c r="M1" s="5"/>
      <c r="N1" s="5"/>
      <c r="O1" s="16" t="s">
        <v>1139</v>
      </c>
      <c r="P1" s="16"/>
      <c r="Q1" s="16"/>
      <c r="R1" s="16"/>
      <c r="S1" s="16"/>
      <c r="T1" s="16"/>
      <c r="U1" s="16"/>
      <c r="V1" s="89" t="s">
        <v>1140</v>
      </c>
      <c r="W1" s="89"/>
      <c r="X1" s="89"/>
      <c r="Y1" s="89"/>
      <c r="Z1" s="89"/>
      <c r="AA1" s="89"/>
      <c r="AB1" s="89"/>
    </row>
    <row r="2" s="1" customFormat="1" ht="27" spans="1:28">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c r="V2" s="90"/>
      <c r="W2" s="91" t="s">
        <v>1141</v>
      </c>
      <c r="X2" s="91" t="s">
        <v>1120</v>
      </c>
      <c r="Y2" s="91" t="s">
        <v>1142</v>
      </c>
      <c r="Z2" s="91" t="s">
        <v>1143</v>
      </c>
      <c r="AA2" s="91" t="s">
        <v>1144</v>
      </c>
      <c r="AB2" s="98" t="s">
        <v>1145</v>
      </c>
    </row>
    <row r="3" s="1" customFormat="1" spans="1:28">
      <c r="A3" s="9" t="s">
        <v>1146</v>
      </c>
      <c r="B3" s="10">
        <f>I3+P3+W3</f>
        <v>31</v>
      </c>
      <c r="C3" s="10">
        <f t="shared" ref="C3:F3" si="0">J3+Q3+X3</f>
        <v>61441.8</v>
      </c>
      <c r="D3" s="10">
        <f t="shared" si="0"/>
        <v>31</v>
      </c>
      <c r="E3" s="10">
        <f t="shared" si="0"/>
        <v>13</v>
      </c>
      <c r="F3" s="10" t="e">
        <f t="shared" si="0"/>
        <v>#REF!</v>
      </c>
      <c r="G3" s="11" t="e">
        <f>IF(C3=0,"-",ROUND(F3/C3,3))</f>
        <v>#REF!</v>
      </c>
      <c r="H3" s="8" t="s">
        <v>1146</v>
      </c>
      <c r="I3" s="17">
        <f>COUNT(E73:E146)</f>
        <v>0</v>
      </c>
      <c r="J3" s="21">
        <f>SUM(E73:E146)</f>
        <v>0</v>
      </c>
      <c r="K3" s="21">
        <f>COUNTIF(I73:I146,"在建")+COUNTIF(I73:I146,"完工")</f>
        <v>0</v>
      </c>
      <c r="L3" s="21">
        <f>COUNTIF(I73:I146,"完工")</f>
        <v>0</v>
      </c>
      <c r="M3" s="17">
        <f>SUM(J73:J129)</f>
        <v>0</v>
      </c>
      <c r="N3" s="22" t="str">
        <f>IF(J3=0,"-",ROUND(M3/J3,3))</f>
        <v>-</v>
      </c>
      <c r="O3" s="19" t="s">
        <v>1146</v>
      </c>
      <c r="P3" s="20">
        <f>T7+T30+T38+T44+T49+T54+T60+T65</f>
        <v>30</v>
      </c>
      <c r="Q3" s="20">
        <f>Q4</f>
        <v>59500</v>
      </c>
      <c r="R3" s="20">
        <f t="shared" ref="R3:S3" si="1">V7+V30+V38+V44+V49+V54+V60+V65</f>
        <v>30</v>
      </c>
      <c r="S3" s="20">
        <f t="shared" si="1"/>
        <v>13</v>
      </c>
      <c r="T3" s="20" t="e">
        <f>T4</f>
        <v>#REF!</v>
      </c>
      <c r="U3" s="20" t="e">
        <f>IF(Q3=0,"-",ROUND(T3/Q3,3))</f>
        <v>#REF!</v>
      </c>
      <c r="V3" s="90" t="s">
        <v>1146</v>
      </c>
      <c r="W3" s="91">
        <f>T70</f>
        <v>1</v>
      </c>
      <c r="X3" s="91">
        <f t="shared" ref="X3:AA3" si="2">U70</f>
        <v>1941.8</v>
      </c>
      <c r="Y3" s="91">
        <f t="shared" si="2"/>
        <v>1</v>
      </c>
      <c r="Z3" s="91">
        <f t="shared" si="2"/>
        <v>0</v>
      </c>
      <c r="AA3" s="91">
        <f t="shared" si="2"/>
        <v>1690</v>
      </c>
      <c r="AB3" s="91">
        <f>IF(X3=0,"-",ROUND(AA3/X3,3))</f>
        <v>0.87</v>
      </c>
    </row>
    <row r="4" s="1" customFormat="1" ht="27" spans="1:28">
      <c r="A4" s="9" t="s">
        <v>1147</v>
      </c>
      <c r="B4" s="10">
        <f>I4+P4+W4</f>
        <v>31</v>
      </c>
      <c r="C4" s="10">
        <f t="shared" ref="C4:D4" si="3">J4+Q4+X4</f>
        <v>61441.8</v>
      </c>
      <c r="D4" s="10">
        <f t="shared" si="3"/>
        <v>31</v>
      </c>
      <c r="E4" s="10">
        <f t="shared" ref="E4" si="4">L4+S4+Z4</f>
        <v>13</v>
      </c>
      <c r="F4" s="10" t="e">
        <f t="shared" ref="F4" si="5">M4+T4+AA4</f>
        <v>#REF!</v>
      </c>
      <c r="G4" s="12" t="e">
        <f>IF(C4=0,"-",ROUND(F4/C4,3))</f>
        <v>#REF!</v>
      </c>
      <c r="H4" s="8" t="s">
        <v>1148</v>
      </c>
      <c r="I4" s="17">
        <f>COUNTIF(G73:G146,"&gt;0")</f>
        <v>0</v>
      </c>
      <c r="J4" s="21">
        <f>SUM(G73:G146)</f>
        <v>0</v>
      </c>
      <c r="K4" s="21">
        <f>COUNTIFS(G73:G146,"&gt;0",I73:I146,"完工")+COUNTIFS(G73:G146,"&gt;0",I73:I146,"在建")</f>
        <v>0</v>
      </c>
      <c r="L4" s="21">
        <f>COUNTIFS(G73:G146,"&gt;0",I73:I146,"完工")</f>
        <v>0</v>
      </c>
      <c r="M4" s="17">
        <f>SUM(K73:K146)</f>
        <v>0</v>
      </c>
      <c r="N4" s="22" t="str">
        <f>IF(J4=0,"-",ROUND(M4/J4,3))</f>
        <v>-</v>
      </c>
      <c r="O4" s="19" t="s">
        <v>1148</v>
      </c>
      <c r="P4" s="20">
        <f>T8+T31+T39+T45+T50+T55+T61+T66</f>
        <v>30</v>
      </c>
      <c r="Q4" s="20">
        <f>IF(U8+U31+U39+U45+U50+U55+U61+U66&gt;59500,59500,"error")</f>
        <v>59500</v>
      </c>
      <c r="R4" s="20">
        <f t="shared" ref="R4:S4" si="6">V8+V31+V39+V45+V50+V55+V61+V66</f>
        <v>30</v>
      </c>
      <c r="S4" s="20">
        <f t="shared" si="6"/>
        <v>13</v>
      </c>
      <c r="T4" s="20" t="e">
        <f>IF(X8+X31+X39+X45+X50+X55+X61+X66&gt;59500,59500,X8+X31+X39+X45+X50+X55+X61+X66)</f>
        <v>#REF!</v>
      </c>
      <c r="U4" s="25" t="e">
        <f>IF(Q4=0,"-",ROUND(T4/Q4,3))</f>
        <v>#REF!</v>
      </c>
      <c r="V4" s="90" t="s">
        <v>1148</v>
      </c>
      <c r="W4" s="91">
        <f>T71</f>
        <v>1</v>
      </c>
      <c r="X4" s="91">
        <f t="shared" ref="X4:AA4" si="7">U71</f>
        <v>1941.8</v>
      </c>
      <c r="Y4" s="91">
        <f t="shared" si="7"/>
        <v>1</v>
      </c>
      <c r="Z4" s="91">
        <f t="shared" si="7"/>
        <v>0</v>
      </c>
      <c r="AA4" s="91">
        <f t="shared" si="7"/>
        <v>1420</v>
      </c>
      <c r="AB4" s="99">
        <f>IF(X4=0,"-",ROUND(AA4/X4,3))</f>
        <v>0.731</v>
      </c>
    </row>
    <row r="5" spans="1:25">
      <c r="A5" s="13" t="s">
        <v>1149</v>
      </c>
      <c r="B5" s="14"/>
      <c r="C5" s="14"/>
      <c r="D5" s="14"/>
      <c r="E5" s="14"/>
      <c r="F5" s="14"/>
      <c r="G5" s="14"/>
      <c r="H5" s="14"/>
      <c r="I5" s="14"/>
      <c r="J5" s="14"/>
      <c r="K5" s="14"/>
      <c r="L5" s="14"/>
      <c r="M5" s="14"/>
      <c r="N5" s="14"/>
      <c r="O5" s="14"/>
      <c r="P5" s="14"/>
      <c r="Q5" s="14"/>
      <c r="R5" s="14"/>
      <c r="S5" s="16" t="s">
        <v>1150</v>
      </c>
      <c r="T5" s="16"/>
      <c r="U5" s="16"/>
      <c r="V5" s="16"/>
      <c r="W5" s="16"/>
      <c r="X5" s="16"/>
      <c r="Y5" s="16"/>
    </row>
    <row r="6" ht="51" spans="1:25">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S6" s="19"/>
      <c r="T6" s="20" t="s">
        <v>1141</v>
      </c>
      <c r="U6" s="20" t="s">
        <v>1120</v>
      </c>
      <c r="V6" s="20" t="s">
        <v>1142</v>
      </c>
      <c r="W6" s="20" t="s">
        <v>1143</v>
      </c>
      <c r="X6" s="20" t="s">
        <v>1144</v>
      </c>
      <c r="Y6" s="23" t="s">
        <v>1151</v>
      </c>
    </row>
    <row r="7" ht="14" customHeight="1" spans="1:25">
      <c r="A7">
        <f>'附件4 规划外'!A196</f>
        <v>209</v>
      </c>
      <c r="B7" t="str">
        <f>'附件4 规划外'!B196</f>
        <v>开封市黑岗口引黄灌区续建配态与节水改造项目</v>
      </c>
      <c r="C7" t="str">
        <f>'附件4 规划外'!C196</f>
        <v>其他</v>
      </c>
      <c r="D7" t="str">
        <f>'附件4 规划外'!D196</f>
        <v>渠道衬砌4条15.319km，沟渠清淤疏浚4条16.467km，配套建筑物81座，配套量测水设施22套。</v>
      </c>
      <c r="E7">
        <f>'附件4 规划外'!E196</f>
        <v>5897</v>
      </c>
      <c r="F7">
        <f>'附件4 规划外'!F196</f>
        <v>0</v>
      </c>
      <c r="G7">
        <f>'附件4 规划外'!G196</f>
        <v>4718</v>
      </c>
      <c r="H7">
        <f>'附件4 规划外'!H196</f>
        <v>0</v>
      </c>
      <c r="I7" t="str">
        <f>'附件4 规划外'!I196</f>
        <v>在建</v>
      </c>
      <c r="J7">
        <f>'附件4 规划外'!J196</f>
        <v>5000</v>
      </c>
      <c r="K7">
        <f>'附件4 规划外'!K196</f>
        <v>5000</v>
      </c>
      <c r="L7">
        <f>'附件4 规划外'!L196</f>
        <v>0</v>
      </c>
      <c r="M7" s="26">
        <f>'附件4 规划外'!M196</f>
        <v>44652</v>
      </c>
      <c r="N7" s="26">
        <f>'附件4 规划外'!N196</f>
        <v>44896</v>
      </c>
      <c r="O7" t="str">
        <f>'附件4 规划外'!O196</f>
        <v>市水利局</v>
      </c>
      <c r="P7" t="str">
        <f>'附件4 规划外'!P196</f>
        <v>市本级</v>
      </c>
      <c r="Q7">
        <f>'附件4 规划外'!Q196</f>
        <v>0</v>
      </c>
      <c r="S7" s="19" t="s">
        <v>1146</v>
      </c>
      <c r="T7" s="20">
        <f>COUNT(A7:A25)</f>
        <v>19</v>
      </c>
      <c r="U7" s="24">
        <f>SUM(E7:E25)</f>
        <v>17438.48</v>
      </c>
      <c r="V7" s="24">
        <f>COUNTIF(I7:I25,"在建")+COUNTIF(I7:I25,"完工")</f>
        <v>19</v>
      </c>
      <c r="W7" s="24">
        <f>COUNTIF(I7:I25,"完工")</f>
        <v>12</v>
      </c>
      <c r="X7" s="20">
        <f>SUM(J7:J25)</f>
        <v>15371</v>
      </c>
      <c r="Y7" s="25">
        <f>IF(U7=0,"-",ROUND(X7/U7,3))</f>
        <v>0.881</v>
      </c>
    </row>
    <row r="8" ht="27" spans="1:25">
      <c r="A8">
        <f>'附件4 规划外'!A197</f>
        <v>210</v>
      </c>
      <c r="B8" t="str">
        <f>'附件4 规划外'!B197</f>
        <v>2022年兰考县中型灌区续建配套与节水改造项目</v>
      </c>
      <c r="C8" t="str">
        <f>'附件4 规划外'!C197</f>
        <v>其他</v>
      </c>
      <c r="D8" t="str">
        <f>'附件4 规划外'!D197</f>
        <v>北滩灌区2022年度工程涉及渠道衬砌3条共20.16千米，量测水设施6处，建设管理道路18公里。</v>
      </c>
      <c r="E8">
        <f>'附件4 规划外'!E197</f>
        <v>3257</v>
      </c>
      <c r="F8">
        <f>'附件4 规划外'!F197</f>
        <v>0</v>
      </c>
      <c r="G8">
        <f>'附件4 规划外'!G197</f>
        <v>2606</v>
      </c>
      <c r="H8">
        <f>'附件4 规划外'!H197</f>
        <v>0</v>
      </c>
      <c r="I8" t="str">
        <f>'附件4 规划外'!I197</f>
        <v>在建</v>
      </c>
      <c r="J8">
        <f>'附件4 规划外'!J197</f>
        <v>3490</v>
      </c>
      <c r="K8">
        <f>'附件4 规划外'!K197</f>
        <v>3490</v>
      </c>
      <c r="L8">
        <f>'附件4 规划外'!L197</f>
        <v>0</v>
      </c>
      <c r="M8" s="26">
        <f>'附件4 规划外'!M197</f>
        <v>44652</v>
      </c>
      <c r="N8" s="26">
        <f>'附件4 规划外'!N197</f>
        <v>44896</v>
      </c>
      <c r="O8" t="str">
        <f>'附件4 规划外'!O197</f>
        <v>市水利局</v>
      </c>
      <c r="P8" t="str">
        <f>'附件4 规划外'!P197</f>
        <v>兰考县</v>
      </c>
      <c r="Q8">
        <f>'附件4 规划外'!Q197</f>
        <v>0</v>
      </c>
      <c r="S8" s="19" t="s">
        <v>1148</v>
      </c>
      <c r="T8" s="20">
        <f>COUNTIF(G7:G25,"&gt;0")</f>
        <v>19</v>
      </c>
      <c r="U8" s="24">
        <f>U7*0.8</f>
        <v>13950.784</v>
      </c>
      <c r="V8" s="24">
        <f>COUNTIFS(G7:G25,"&gt;0",I7:I25,"完工")+COUNTIFS(G7:G25,"&gt;0",I7:I25,"在建")</f>
        <v>19</v>
      </c>
      <c r="W8" s="24">
        <f>COUNTIFS(G7:G25,"&gt;0",I7:I25,"完工")</f>
        <v>12</v>
      </c>
      <c r="X8" s="20">
        <f>SUM(K7:K25)</f>
        <v>15371</v>
      </c>
      <c r="Y8" s="25">
        <f>IF(U8=0,"-",ROUND(X8/U8,3))</f>
        <v>1.102</v>
      </c>
    </row>
    <row r="9" spans="1:17">
      <c r="A9">
        <f>'附件4 规划外'!A198</f>
        <v>211</v>
      </c>
      <c r="B9" t="str">
        <f>'附件4 规划外'!B198</f>
        <v>祥符区铁底河(北支段)治理工</v>
      </c>
      <c r="C9" t="str">
        <f>'附件4 规划外'!C198</f>
        <v>其他</v>
      </c>
      <c r="D9" t="str">
        <f>'附件4 规划外'!D198</f>
        <v>河道清淤13.2公里，拆除重建建筑物17座</v>
      </c>
      <c r="E9">
        <f>'附件4 规划外'!E198</f>
        <v>923</v>
      </c>
      <c r="F9">
        <f>'附件4 规划外'!F198</f>
        <v>0</v>
      </c>
      <c r="G9">
        <f>'附件4 规划外'!G198</f>
        <v>738</v>
      </c>
      <c r="H9">
        <f>'附件4 规划外'!H198</f>
        <v>0</v>
      </c>
      <c r="I9" t="str">
        <f>'附件4 规划外'!I198</f>
        <v>在建</v>
      </c>
      <c r="J9">
        <f>'附件4 规划外'!J198</f>
        <v>680</v>
      </c>
      <c r="K9">
        <f>'附件4 规划外'!K198</f>
        <v>680</v>
      </c>
      <c r="L9">
        <f>'附件4 规划外'!L198</f>
        <v>0</v>
      </c>
      <c r="M9" s="26">
        <f>'附件4 规划外'!M198</f>
        <v>44652</v>
      </c>
      <c r="N9" s="26">
        <f>'附件4 规划外'!N198</f>
        <v>45078</v>
      </c>
      <c r="O9" t="str">
        <f>'附件4 规划外'!O198</f>
        <v>市水利局</v>
      </c>
      <c r="P9" t="str">
        <f>'附件4 规划外'!P198</f>
        <v>祥符区</v>
      </c>
      <c r="Q9">
        <f>'附件4 规划外'!Q198</f>
        <v>0</v>
      </c>
    </row>
    <row r="10" spans="1:17">
      <c r="A10">
        <f>'附件4 规划外'!A199</f>
        <v>212</v>
      </c>
      <c r="B10" t="str">
        <f>'附件4 规划外'!B199</f>
        <v>杞县小蒋河(曹家至林庄段)治理工程</v>
      </c>
      <c r="C10" t="str">
        <f>'附件4 规划外'!C199</f>
        <v>其他</v>
      </c>
      <c r="D10" t="str">
        <f>'附件4 规划外'!D199</f>
        <v>河道清淤9.883公里，拆除重建桥梁16座</v>
      </c>
      <c r="E10">
        <f>'附件4 规划外'!E199</f>
        <v>936</v>
      </c>
      <c r="F10">
        <f>'附件4 规划外'!F199</f>
        <v>0</v>
      </c>
      <c r="G10">
        <f>'附件4 规划外'!G199</f>
        <v>749</v>
      </c>
      <c r="H10">
        <f>'附件4 规划外'!H199</f>
        <v>0</v>
      </c>
      <c r="I10" t="str">
        <f>'附件4 规划外'!I199</f>
        <v>在建</v>
      </c>
      <c r="J10">
        <f>'附件4 规划外'!J199</f>
        <v>880</v>
      </c>
      <c r="K10">
        <f>'附件4 规划外'!K199</f>
        <v>880</v>
      </c>
      <c r="L10">
        <f>'附件4 规划外'!L199</f>
        <v>0</v>
      </c>
      <c r="M10" s="26">
        <f>'附件4 规划外'!M199</f>
        <v>44682</v>
      </c>
      <c r="N10" s="26">
        <f>'附件4 规划外'!N199</f>
        <v>44896</v>
      </c>
      <c r="O10" t="str">
        <f>'附件4 规划外'!O199</f>
        <v>市水利局</v>
      </c>
      <c r="P10" t="str">
        <f>'附件4 规划外'!P199</f>
        <v>杞县</v>
      </c>
      <c r="Q10">
        <f>'附件4 规划外'!Q199</f>
        <v>0</v>
      </c>
    </row>
    <row r="11" spans="1:17">
      <c r="A11">
        <f>'附件4 规划外'!A200</f>
        <v>213</v>
      </c>
      <c r="B11" t="str">
        <f>'附件4 规划外'!B200</f>
        <v>通许县小清河治理工程(乔寨桥至开通县界)</v>
      </c>
      <c r="C11" t="str">
        <f>'附件4 规划外'!C200</f>
        <v>其他</v>
      </c>
      <c r="D11" t="str">
        <f>'附件4 规划外'!D200</f>
        <v>本次治理范围为桩号小清河开通县界（28+285）～乔寨桥（35+280），治理河段清表、两岸岸坡整修共6.995km，修筑右岸混凝土防汛路6.642km，重建跨河桥梁5座，重建沿河两岸灌排两用涵闸10座。</v>
      </c>
      <c r="E11">
        <f>'附件4 规划外'!E200</f>
        <v>1885.01</v>
      </c>
      <c r="F11">
        <f>'附件4 规划外'!F200</f>
        <v>0</v>
      </c>
      <c r="G11">
        <f>'附件4 规划外'!G200</f>
        <v>1508</v>
      </c>
      <c r="H11">
        <f>'附件4 规划外'!H200</f>
        <v>0</v>
      </c>
      <c r="I11" t="str">
        <f>'附件4 规划外'!I200</f>
        <v>在建</v>
      </c>
      <c r="J11">
        <f>'附件4 规划外'!J200</f>
        <v>1495</v>
      </c>
      <c r="K11">
        <f>'附件4 规划外'!K200</f>
        <v>1495</v>
      </c>
      <c r="L11">
        <f>'附件4 规划外'!L200</f>
        <v>0</v>
      </c>
      <c r="M11" s="26">
        <f>'附件4 规划外'!M200</f>
        <v>44652</v>
      </c>
      <c r="N11" s="26">
        <f>'附件4 规划外'!N200</f>
        <v>44896</v>
      </c>
      <c r="O11" t="str">
        <f>'附件4 规划外'!O200</f>
        <v>市水利局</v>
      </c>
      <c r="P11" t="str">
        <f>'附件4 规划外'!P200</f>
        <v>通许县</v>
      </c>
      <c r="Q11">
        <f>'附件4 规划外'!Q200</f>
        <v>0</v>
      </c>
    </row>
    <row r="12" spans="1:17">
      <c r="A12">
        <f>'附件4 规划外'!A201</f>
        <v>214</v>
      </c>
      <c r="B12" t="str">
        <f>'附件4 规划外'!B201</f>
        <v>通许县铁底河(陈嘉至木台庄段)治理工程</v>
      </c>
      <c r="C12" t="str">
        <f>'附件4 规划外'!C201</f>
        <v>其他</v>
      </c>
      <c r="D12" t="str">
        <f>'附件4 规划外'!D201</f>
        <v>河道清淤约 5.79km、堤防修筑 4.664km、重建拦河闸1座，新 建排涝涵闸10座，重建跨河桥梁1座等。</v>
      </c>
      <c r="E12">
        <f>'附件4 规划外'!E201</f>
        <v>2355.47</v>
      </c>
      <c r="F12">
        <f>'附件4 规划外'!F201</f>
        <v>0</v>
      </c>
      <c r="G12">
        <f>'附件4 规划外'!G201</f>
        <v>1884</v>
      </c>
      <c r="H12">
        <f>'附件4 规划外'!H201</f>
        <v>0</v>
      </c>
      <c r="I12" t="str">
        <f>'附件4 规划外'!I201</f>
        <v>在建</v>
      </c>
      <c r="J12">
        <f>'附件4 规划外'!J201</f>
        <v>1721</v>
      </c>
      <c r="K12">
        <f>'附件4 规划外'!K201</f>
        <v>1721</v>
      </c>
      <c r="L12">
        <f>'附件4 规划外'!L201</f>
        <v>0</v>
      </c>
      <c r="M12" s="26">
        <f>'附件4 规划外'!M201</f>
        <v>44652</v>
      </c>
      <c r="N12" s="26">
        <f>'附件4 规划外'!N201</f>
        <v>44896</v>
      </c>
      <c r="O12" t="str">
        <f>'附件4 规划外'!O201</f>
        <v>市水利局</v>
      </c>
      <c r="P12" t="str">
        <f>'附件4 规划外'!P201</f>
        <v>通许县</v>
      </c>
      <c r="Q12">
        <f>'附件4 规划外'!Q201</f>
        <v>0</v>
      </c>
    </row>
    <row r="13" spans="1:17">
      <c r="A13">
        <f>'附件4 规划外'!A202</f>
        <v>215</v>
      </c>
      <c r="B13" t="str">
        <f>'附件4 规划外'!B202</f>
        <v>尉氏县水土保持</v>
      </c>
      <c r="C13" t="str">
        <f>'附件4 规划外'!C202</f>
        <v>其他</v>
      </c>
      <c r="D13" t="str">
        <f>'附件4 规划外'!D202</f>
        <v>农田防护林1000hm²,生产道路2278m. 治理水土流失面积10平方公里。</v>
      </c>
      <c r="E13">
        <f>'附件4 规划外'!E202</f>
        <v>460</v>
      </c>
      <c r="F13">
        <f>'附件4 规划外'!F202</f>
        <v>0</v>
      </c>
      <c r="G13">
        <f>'附件4 规划外'!G202</f>
        <v>460</v>
      </c>
      <c r="H13">
        <f>'附件4 规划外'!H202</f>
        <v>0</v>
      </c>
      <c r="I13" t="str">
        <f>'附件4 规划外'!I202</f>
        <v>在建</v>
      </c>
      <c r="J13">
        <f>'附件4 规划外'!J202</f>
        <v>380</v>
      </c>
      <c r="K13">
        <f>'附件4 规划外'!K202</f>
        <v>380</v>
      </c>
      <c r="L13" t="str">
        <f>'附件4 规划外'!L202</f>
        <v>方案在编</v>
      </c>
      <c r="M13" s="26">
        <f>'附件4 规划外'!M202</f>
        <v>44682</v>
      </c>
      <c r="N13" s="26">
        <f>'附件4 规划外'!N202</f>
        <v>44896</v>
      </c>
      <c r="O13" t="str">
        <f>'附件4 规划外'!O202</f>
        <v>市水利局</v>
      </c>
      <c r="P13" t="str">
        <f>'附件4 规划外'!P202</f>
        <v>尉氏县</v>
      </c>
      <c r="Q13">
        <f>'附件4 规划外'!Q202</f>
        <v>0</v>
      </c>
    </row>
    <row r="14" spans="1:17">
      <c r="A14">
        <f>'附件4 规划外'!A203</f>
        <v>216</v>
      </c>
      <c r="B14" t="str">
        <f>'附件4 规划外'!B203</f>
        <v>祥符区水资源节约管理与保护</v>
      </c>
      <c r="C14" t="str">
        <f>'附件4 规划外'!C203</f>
        <v>其他</v>
      </c>
      <c r="D14" t="str">
        <f>'附件4 规划外'!D203</f>
        <v>规模以上取水在线计量设施新建或改建</v>
      </c>
      <c r="E14">
        <f>'附件4 规划外'!E203</f>
        <v>20</v>
      </c>
      <c r="F14">
        <f>'附件4 规划外'!F203</f>
        <v>0</v>
      </c>
      <c r="G14">
        <f>'附件4 规划外'!G203</f>
        <v>20</v>
      </c>
      <c r="H14">
        <f>'附件4 规划外'!H203</f>
        <v>0</v>
      </c>
      <c r="I14" t="str">
        <f>'附件4 规划外'!I203</f>
        <v>完工</v>
      </c>
      <c r="J14">
        <f>'附件4 规划外'!J203</f>
        <v>20</v>
      </c>
      <c r="K14">
        <f>'附件4 规划外'!K203</f>
        <v>20</v>
      </c>
      <c r="L14">
        <f>'附件4 规划外'!L203</f>
        <v>0</v>
      </c>
      <c r="M14" s="26">
        <f>'附件4 规划外'!M203</f>
        <v>44682</v>
      </c>
      <c r="N14" s="26">
        <f>'附件4 规划外'!N203</f>
        <v>44713</v>
      </c>
      <c r="O14" t="str">
        <f>'附件4 规划外'!O203</f>
        <v>市水利局</v>
      </c>
      <c r="P14" t="str">
        <f>'附件4 规划外'!P203</f>
        <v>祥符区</v>
      </c>
      <c r="Q14">
        <f>'附件4 规划外'!Q203</f>
        <v>0</v>
      </c>
    </row>
    <row r="15" spans="1:17">
      <c r="A15">
        <f>'附件4 规划外'!A204</f>
        <v>217</v>
      </c>
      <c r="B15" t="str">
        <f>'附件4 规划外'!B204</f>
        <v>杞县水资源节约管理与保护</v>
      </c>
      <c r="C15" t="str">
        <f>'附件4 规划外'!C204</f>
        <v>其他</v>
      </c>
      <c r="D15" t="str">
        <f>'附件4 规划外'!D204</f>
        <v>规模以上取水在线计量设施新建或改建</v>
      </c>
      <c r="E15">
        <f>'附件4 规划外'!E204</f>
        <v>28</v>
      </c>
      <c r="F15">
        <f>'附件4 规划外'!F204</f>
        <v>0</v>
      </c>
      <c r="G15">
        <f>'附件4 规划外'!G204</f>
        <v>28</v>
      </c>
      <c r="H15">
        <f>'附件4 规划外'!H204</f>
        <v>0</v>
      </c>
      <c r="I15" t="str">
        <f>'附件4 规划外'!I204</f>
        <v>完工</v>
      </c>
      <c r="J15">
        <f>'附件4 规划外'!J204</f>
        <v>28</v>
      </c>
      <c r="K15">
        <f>'附件4 规划外'!K204</f>
        <v>28</v>
      </c>
      <c r="L15">
        <f>'附件4 规划外'!L204</f>
        <v>0</v>
      </c>
      <c r="M15" s="26">
        <f>'附件4 规划外'!M204</f>
        <v>44682</v>
      </c>
      <c r="N15" s="26">
        <f>'附件4 规划外'!N204</f>
        <v>44713</v>
      </c>
      <c r="O15" t="str">
        <f>'附件4 规划外'!O204</f>
        <v>市水利局</v>
      </c>
      <c r="P15" t="str">
        <f>'附件4 规划外'!P204</f>
        <v>杞县</v>
      </c>
      <c r="Q15">
        <f>'附件4 规划外'!Q204</f>
        <v>0</v>
      </c>
    </row>
    <row r="16" spans="1:17">
      <c r="A16">
        <f>'附件4 规划外'!A205</f>
        <v>218</v>
      </c>
      <c r="B16" t="str">
        <f>'附件4 规划外'!B205</f>
        <v>通许县水资源节约管理与保护</v>
      </c>
      <c r="C16" t="str">
        <f>'附件4 规划外'!C205</f>
        <v>其他</v>
      </c>
      <c r="D16" t="str">
        <f>'附件4 规划外'!D205</f>
        <v>规模以上取水在线计量设施新建或改建</v>
      </c>
      <c r="E16">
        <f>'附件4 规划外'!E205</f>
        <v>26</v>
      </c>
      <c r="F16">
        <f>'附件4 规划外'!F205</f>
        <v>0</v>
      </c>
      <c r="G16">
        <f>'附件4 规划外'!G205</f>
        <v>26</v>
      </c>
      <c r="H16">
        <f>'附件4 规划外'!H205</f>
        <v>0</v>
      </c>
      <c r="I16" t="str">
        <f>'附件4 规划外'!I205</f>
        <v>完工</v>
      </c>
      <c r="J16">
        <f>'附件4 规划外'!J205</f>
        <v>26</v>
      </c>
      <c r="K16">
        <f>'附件4 规划外'!K205</f>
        <v>26</v>
      </c>
      <c r="L16">
        <f>'附件4 规划外'!L205</f>
        <v>0</v>
      </c>
      <c r="M16" s="26">
        <f>'附件4 规划外'!M205</f>
        <v>44682</v>
      </c>
      <c r="N16" s="26">
        <f>'附件4 规划外'!N205</f>
        <v>44713</v>
      </c>
      <c r="O16" t="str">
        <f>'附件4 规划外'!O205</f>
        <v>市水利局</v>
      </c>
      <c r="P16" t="str">
        <f>'附件4 规划外'!P205</f>
        <v>通许县</v>
      </c>
      <c r="Q16">
        <f>'附件4 规划外'!Q205</f>
        <v>0</v>
      </c>
    </row>
    <row r="17" spans="1:25">
      <c r="A17">
        <f>'附件4 规划外'!A206</f>
        <v>219</v>
      </c>
      <c r="B17" t="str">
        <f>'附件4 规划外'!B206</f>
        <v>尉氏县水资源节约管理与保护</v>
      </c>
      <c r="C17" t="str">
        <f>'附件4 规划外'!C206</f>
        <v>其他</v>
      </c>
      <c r="D17" t="str">
        <f>'附件4 规划外'!D206</f>
        <v>规模以上取水在线计量设施新建或改建</v>
      </c>
      <c r="E17">
        <f>'附件4 规划外'!E206</f>
        <v>25</v>
      </c>
      <c r="F17">
        <f>'附件4 规划外'!F206</f>
        <v>0</v>
      </c>
      <c r="G17">
        <f>'附件4 规划外'!G206</f>
        <v>25</v>
      </c>
      <c r="H17">
        <f>'附件4 规划外'!H206</f>
        <v>0</v>
      </c>
      <c r="I17" t="str">
        <f>'附件4 规划外'!I206</f>
        <v>完工</v>
      </c>
      <c r="J17">
        <f>'附件4 规划外'!J206</f>
        <v>25</v>
      </c>
      <c r="K17">
        <f>'附件4 规划外'!K206</f>
        <v>25</v>
      </c>
      <c r="L17" t="str">
        <f>'附件4 规划外'!L206</f>
        <v>已完成20%</v>
      </c>
      <c r="M17" s="26">
        <f>'附件4 规划外'!M206</f>
        <v>44682</v>
      </c>
      <c r="N17" s="26">
        <f>'附件4 规划外'!N206</f>
        <v>44713</v>
      </c>
      <c r="O17" t="str">
        <f>'附件4 规划外'!O206</f>
        <v>市水利局</v>
      </c>
      <c r="P17" t="str">
        <f>'附件4 规划外'!P206</f>
        <v>尉氏县</v>
      </c>
      <c r="Q17">
        <f>'附件4 规划外'!Q206</f>
        <v>0</v>
      </c>
      <c r="S17" s="92" t="s">
        <v>1152</v>
      </c>
      <c r="T17" s="93"/>
      <c r="U17" s="93"/>
      <c r="V17" s="93"/>
      <c r="W17" s="93"/>
      <c r="X17" s="93"/>
      <c r="Y17" s="93"/>
    </row>
    <row r="18" spans="1:25">
      <c r="A18">
        <f>'附件4 规划外'!A207</f>
        <v>220</v>
      </c>
      <c r="B18" t="str">
        <f>'附件4 规划外'!B207</f>
        <v>兰考县水资源节约管理与保护</v>
      </c>
      <c r="C18" t="str">
        <f>'附件4 规划外'!C207</f>
        <v>其他</v>
      </c>
      <c r="D18" t="str">
        <f>'附件4 规划外'!D207</f>
        <v>北滩灌区渠首安装监测计量设备</v>
      </c>
      <c r="E18">
        <f>'附件4 规划外'!E207</f>
        <v>8</v>
      </c>
      <c r="F18">
        <f>'附件4 规划外'!F207</f>
        <v>0</v>
      </c>
      <c r="G18">
        <f>'附件4 规划外'!G207</f>
        <v>8</v>
      </c>
      <c r="H18">
        <f>'附件4 规划外'!H207</f>
        <v>0</v>
      </c>
      <c r="I18" t="str">
        <f>'附件4 规划外'!I207</f>
        <v>完工</v>
      </c>
      <c r="J18">
        <f>'附件4 规划外'!J207</f>
        <v>8</v>
      </c>
      <c r="K18">
        <f>'附件4 规划外'!K207</f>
        <v>8</v>
      </c>
      <c r="L18">
        <f>'附件4 规划外'!L207</f>
        <v>0</v>
      </c>
      <c r="M18" s="26">
        <f>'附件4 规划外'!M207</f>
        <v>44682</v>
      </c>
      <c r="N18" s="26">
        <f>'附件4 规划外'!N207</f>
        <v>44713</v>
      </c>
      <c r="O18" t="str">
        <f>'附件4 规划外'!O207</f>
        <v>市水利局</v>
      </c>
      <c r="P18" t="str">
        <f>'附件4 规划外'!P207</f>
        <v>兰考县</v>
      </c>
      <c r="Q18">
        <f>'附件4 规划外'!Q207</f>
        <v>0</v>
      </c>
      <c r="T18" t="s">
        <v>1141</v>
      </c>
      <c r="U18" t="s">
        <v>1120</v>
      </c>
      <c r="V18" t="s">
        <v>1142</v>
      </c>
      <c r="W18" t="s">
        <v>1143</v>
      </c>
      <c r="X18" t="s">
        <v>1144</v>
      </c>
      <c r="Y18" t="s">
        <v>1151</v>
      </c>
    </row>
    <row r="19" spans="1:25">
      <c r="A19">
        <f>'附件4 规划外'!A208</f>
        <v>221</v>
      </c>
      <c r="B19" t="str">
        <f>'附件4 规划外'!B208</f>
        <v>开封市农村饮水工程维修养护</v>
      </c>
      <c r="C19" t="str">
        <f>'附件4 规划外'!C208</f>
        <v>其他</v>
      </c>
      <c r="D19" t="str">
        <f>'附件4 规划外'!D208</f>
        <v>管网改造共计3505m，过桥钢管54m，更换阀门223个,更换水表92块，水源井井台维修工程7处，滤砂罐基础重砌1处，更换SPF37kw变频器1台，更换次氯酸钠发生器100型7套等</v>
      </c>
      <c r="E19">
        <f>'附件4 规划外'!E208</f>
        <v>141</v>
      </c>
      <c r="F19">
        <f>'附件4 规划外'!F208</f>
        <v>0</v>
      </c>
      <c r="G19">
        <f>'附件4 规划外'!G208</f>
        <v>141</v>
      </c>
      <c r="H19">
        <f>'附件4 规划外'!H208</f>
        <v>0</v>
      </c>
      <c r="I19" t="str">
        <f>'附件4 规划外'!I208</f>
        <v>完工</v>
      </c>
      <c r="J19">
        <f>'附件4 规划外'!J208</f>
        <v>141</v>
      </c>
      <c r="K19">
        <f>'附件4 规划外'!K208</f>
        <v>141</v>
      </c>
      <c r="L19">
        <f>'附件4 规划外'!L208</f>
        <v>0</v>
      </c>
      <c r="M19" s="26">
        <f>'附件4 规划外'!M208</f>
        <v>44682</v>
      </c>
      <c r="N19" s="26">
        <f>'附件4 规划外'!N208</f>
        <v>44713</v>
      </c>
      <c r="O19" t="str">
        <f>'附件4 规划外'!O208</f>
        <v>市水利局</v>
      </c>
      <c r="P19" t="str">
        <f>'附件4 规划外'!P208</f>
        <v>市本级</v>
      </c>
      <c r="Q19">
        <f>'附件4 规划外'!Q208</f>
        <v>0</v>
      </c>
      <c r="S19" t="s">
        <v>1146</v>
      </c>
      <c r="T19" s="94">
        <f>T30+T38+T49+T54+T60</f>
        <v>9</v>
      </c>
      <c r="U19" s="94">
        <f t="shared" ref="U19:X19" si="8">U30+U38+U49+U54+U60</f>
        <v>82511</v>
      </c>
      <c r="V19" s="94">
        <f t="shared" si="8"/>
        <v>9</v>
      </c>
      <c r="W19" s="94">
        <f t="shared" si="8"/>
        <v>1</v>
      </c>
      <c r="X19" s="94" t="e">
        <f t="shared" si="8"/>
        <v>#REF!</v>
      </c>
      <c r="Y19" s="72" t="e">
        <f>IF(U19=0,"-",ROUND(X19/U19,3))</f>
        <v>#REF!</v>
      </c>
    </row>
    <row r="20" spans="1:25">
      <c r="A20">
        <f>'附件4 规划外'!A209</f>
        <v>222</v>
      </c>
      <c r="B20" t="str">
        <f>'附件4 规划外'!B209</f>
        <v>祥符区农村饮水工程维修养护</v>
      </c>
      <c r="C20" t="str">
        <f>'附件4 规划外'!C209</f>
        <v>其他</v>
      </c>
      <c r="D20" t="str">
        <f>'附件4 规划外'!D209</f>
        <v>洗井 4 眼，钢管滤水管维修 4 处，更换 HDPEφ75×1.25Mpa管道 840m，更换 HDPEφ160×1.0Mpa 管道 150m等</v>
      </c>
      <c r="E20">
        <f>'附件4 规划外'!E209</f>
        <v>275</v>
      </c>
      <c r="F20">
        <f>'附件4 规划外'!F209</f>
        <v>0</v>
      </c>
      <c r="G20">
        <f>'附件4 规划外'!G209</f>
        <v>275</v>
      </c>
      <c r="H20">
        <f>'附件4 规划外'!H209</f>
        <v>0</v>
      </c>
      <c r="I20" t="str">
        <f>'附件4 规划外'!I209</f>
        <v>完工</v>
      </c>
      <c r="J20">
        <f>'附件4 规划外'!J209</f>
        <v>275</v>
      </c>
      <c r="K20">
        <f>'附件4 规划外'!K209</f>
        <v>275</v>
      </c>
      <c r="L20">
        <f>'附件4 规划外'!L209</f>
        <v>0</v>
      </c>
      <c r="M20" s="26">
        <f>'附件4 规划外'!M209</f>
        <v>44682</v>
      </c>
      <c r="N20" s="26">
        <f>'附件4 规划外'!N209</f>
        <v>44713</v>
      </c>
      <c r="O20" t="str">
        <f>'附件4 规划外'!O209</f>
        <v>市水利局</v>
      </c>
      <c r="P20" t="str">
        <f>'附件4 规划外'!P209</f>
        <v>祥符区</v>
      </c>
      <c r="Q20">
        <f>'附件4 规划外'!Q209</f>
        <v>0</v>
      </c>
      <c r="S20" t="s">
        <v>1147</v>
      </c>
      <c r="T20" s="94">
        <f>T31+T39+T50+T55+T61</f>
        <v>9</v>
      </c>
      <c r="U20" s="94">
        <f>U31+U39+U50+U55+U61</f>
        <v>41255.5</v>
      </c>
      <c r="V20" s="94">
        <f t="shared" ref="V20:X20" si="9">V31+V39+V50+V55+V61</f>
        <v>9</v>
      </c>
      <c r="W20" s="94">
        <f t="shared" si="9"/>
        <v>1</v>
      </c>
      <c r="X20" s="94" t="e">
        <f t="shared" si="9"/>
        <v>#REF!</v>
      </c>
      <c r="Y20" s="72" t="e">
        <f>IF(U20=0,"-",ROUND(X20/U20,3))</f>
        <v>#REF!</v>
      </c>
    </row>
    <row r="21" spans="1:17">
      <c r="A21">
        <f>'附件4 规划外'!A210</f>
        <v>223</v>
      </c>
      <c r="B21" t="str">
        <f>'附件4 规划外'!B210</f>
        <v>杞县农村饮水工程维修养护</v>
      </c>
      <c r="C21" t="str">
        <f>'附件4 规划外'!C210</f>
        <v>其他</v>
      </c>
      <c r="D21" t="str">
        <f>'附件4 规划外'!D210</f>
        <v>管网改造共计 61959米，更换阀门73 个，滤砂罐（5t）3套，更换 DN100 旋翼式滴水计数水表6 块等</v>
      </c>
      <c r="E21">
        <f>'附件4 规划外'!E210</f>
        <v>351</v>
      </c>
      <c r="F21">
        <f>'附件4 规划外'!F210</f>
        <v>0</v>
      </c>
      <c r="G21">
        <f>'附件4 规划外'!G210</f>
        <v>351</v>
      </c>
      <c r="H21">
        <f>'附件4 规划外'!H210</f>
        <v>0</v>
      </c>
      <c r="I21" t="str">
        <f>'附件4 规划外'!I210</f>
        <v>完工</v>
      </c>
      <c r="J21">
        <f>'附件4 规划外'!J210</f>
        <v>351</v>
      </c>
      <c r="K21">
        <f>'附件4 规划外'!K210</f>
        <v>351</v>
      </c>
      <c r="L21">
        <f>'附件4 规划外'!L210</f>
        <v>0</v>
      </c>
      <c r="M21" s="26">
        <f>'附件4 规划外'!M210</f>
        <v>44682</v>
      </c>
      <c r="N21" s="26">
        <f>'附件4 规划外'!N210</f>
        <v>44713</v>
      </c>
      <c r="O21" t="str">
        <f>'附件4 规划外'!O210</f>
        <v>市水利局</v>
      </c>
      <c r="P21" t="str">
        <f>'附件4 规划外'!P210</f>
        <v>杞县</v>
      </c>
      <c r="Q21">
        <f>'附件4 规划外'!Q210</f>
        <v>0</v>
      </c>
    </row>
    <row r="22" spans="1:17">
      <c r="A22">
        <f>'附件4 规划外'!A211</f>
        <v>224</v>
      </c>
      <c r="B22" t="str">
        <f>'附件4 规划外'!B211</f>
        <v>通许县农村饮水工程维修养护</v>
      </c>
      <c r="C22" t="str">
        <f>'附件4 规划外'!C211</f>
        <v>其他</v>
      </c>
      <c r="D22" t="str">
        <f>'附件4 规划外'!D211</f>
        <v>管网改造共计 8154m，更换阀门 15个，更换次氯酸钠发生器（100 型）2 套，更换 5t 滤砂罐（含钢管阀门等辅件）2 套，更换 50t 压力罐（含钢管阀门压力表等辅件）7 套，更换潜水泵（含 160m 防水潜水电缆JHS(YC)3*25）6 套等</v>
      </c>
      <c r="E22">
        <f>'附件4 规划外'!E211</f>
        <v>232</v>
      </c>
      <c r="F22">
        <f>'附件4 规划外'!F211</f>
        <v>0</v>
      </c>
      <c r="G22">
        <f>'附件4 规划外'!G211</f>
        <v>232</v>
      </c>
      <c r="H22">
        <f>'附件4 规划外'!H211</f>
        <v>0</v>
      </c>
      <c r="I22" t="str">
        <f>'附件4 规划外'!I211</f>
        <v>完工</v>
      </c>
      <c r="J22">
        <f>'附件4 规划外'!J211</f>
        <v>232</v>
      </c>
      <c r="K22">
        <f>'附件4 规划外'!K211</f>
        <v>232</v>
      </c>
      <c r="L22">
        <f>'附件4 规划外'!L211</f>
        <v>0</v>
      </c>
      <c r="M22" s="26">
        <f>'附件4 规划外'!M211</f>
        <v>44682</v>
      </c>
      <c r="N22" s="26">
        <f>'附件4 规划外'!N211</f>
        <v>44713</v>
      </c>
      <c r="O22" t="str">
        <f>'附件4 规划外'!O211</f>
        <v>市水利局</v>
      </c>
      <c r="P22" t="str">
        <f>'附件4 规划外'!P211</f>
        <v>通许县</v>
      </c>
      <c r="Q22">
        <f>'附件4 规划外'!Q211</f>
        <v>0</v>
      </c>
    </row>
    <row r="23" spans="1:17">
      <c r="A23">
        <f>'附件4 规划外'!A212</f>
        <v>225</v>
      </c>
      <c r="B23" t="str">
        <f>'附件4 规划外'!B212</f>
        <v>尉氏县农村饮水工程维修养护</v>
      </c>
      <c r="C23" t="str">
        <f>'附件4 规划外'!C212</f>
        <v>其他</v>
      </c>
      <c r="D23" t="str">
        <f>'附件4 规划外'!D212</f>
        <v>共敷设各类管网 112058m（不含入户管）；供水厂（站）中51套储水罐防腐处理（除锈、刷防锈漆、刷银粉浆）等</v>
      </c>
      <c r="E23">
        <f>'附件4 规划外'!E212</f>
        <v>361</v>
      </c>
      <c r="F23">
        <f>'附件4 规划外'!F212</f>
        <v>0</v>
      </c>
      <c r="G23">
        <f>'附件4 规划外'!G212</f>
        <v>361</v>
      </c>
      <c r="H23">
        <f>'附件4 规划外'!H212</f>
        <v>0</v>
      </c>
      <c r="I23" t="str">
        <f>'附件4 规划外'!I212</f>
        <v>完工</v>
      </c>
      <c r="J23">
        <f>'附件4 规划外'!J212</f>
        <v>361</v>
      </c>
      <c r="K23">
        <f>'附件4 规划外'!K212</f>
        <v>361</v>
      </c>
      <c r="L23" t="str">
        <f>'附件4 规划外'!L212</f>
        <v>方案在编</v>
      </c>
      <c r="M23" s="26">
        <f>'附件4 规划外'!M212</f>
        <v>44682</v>
      </c>
      <c r="N23" s="26">
        <f>'附件4 规划外'!N212</f>
        <v>44713</v>
      </c>
      <c r="O23" t="str">
        <f>'附件4 规划外'!O212</f>
        <v>市水利局</v>
      </c>
      <c r="P23" t="str">
        <f>'附件4 规划外'!P212</f>
        <v>尉氏县</v>
      </c>
      <c r="Q23">
        <f>'附件4 规划外'!Q212</f>
        <v>0</v>
      </c>
    </row>
    <row r="24" spans="1:17">
      <c r="A24">
        <f>'附件4 规划外'!A213</f>
        <v>226</v>
      </c>
      <c r="B24" t="str">
        <f>'附件4 规划外'!B213</f>
        <v>兰考县农村饮水工程维修养护</v>
      </c>
      <c r="C24" t="str">
        <f>'附件4 规划外'!C213</f>
        <v>其他</v>
      </c>
      <c r="D24" t="str">
        <f>'附件4 规划外'!D213</f>
        <v>管网改造5处，共计 64791m，更换消毒柜7套，洗井4眼，更换阀门井3处，更换50t 卧式压力罐2套,打井1眼。</v>
      </c>
      <c r="E24">
        <f>'附件4 规划外'!E213</f>
        <v>253</v>
      </c>
      <c r="F24">
        <f>'附件4 规划外'!F213</f>
        <v>0</v>
      </c>
      <c r="G24">
        <f>'附件4 规划外'!G213</f>
        <v>253</v>
      </c>
      <c r="H24">
        <f>'附件4 规划外'!H213</f>
        <v>0</v>
      </c>
      <c r="I24" t="str">
        <f>'附件4 规划外'!I213</f>
        <v>完工</v>
      </c>
      <c r="J24">
        <f>'附件4 规划外'!J213</f>
        <v>253</v>
      </c>
      <c r="K24">
        <f>'附件4 规划外'!K213</f>
        <v>253</v>
      </c>
      <c r="L24">
        <f>'附件4 规划外'!L213</f>
        <v>0</v>
      </c>
      <c r="M24" s="26">
        <f>'附件4 规划外'!M213</f>
        <v>44682</v>
      </c>
      <c r="N24" s="26">
        <f>'附件4 规划外'!N213</f>
        <v>44713</v>
      </c>
      <c r="O24" t="str">
        <f>'附件4 规划外'!O213</f>
        <v>市水利局</v>
      </c>
      <c r="P24" t="str">
        <f>'附件4 规划外'!P213</f>
        <v>兰考县</v>
      </c>
      <c r="Q24">
        <f>'附件4 规划外'!Q213</f>
        <v>0</v>
      </c>
    </row>
    <row r="25" spans="1:17">
      <c r="A25">
        <f>'附件4 规划外'!A214</f>
        <v>227</v>
      </c>
      <c r="B25" t="str">
        <f>'附件4 规划外'!B214</f>
        <v>尉氏县小型水库工程设施维修养护</v>
      </c>
      <c r="C25" t="str">
        <f>'附件4 规划外'!C214</f>
        <v>其他</v>
      </c>
      <c r="D25" t="str">
        <f>'附件4 规划外'!D214</f>
        <v>更换启闭机、丝杠、室内线路、维修闸门</v>
      </c>
      <c r="E25">
        <f>'附件4 规划外'!E214</f>
        <v>5</v>
      </c>
      <c r="F25">
        <f>'附件4 规划外'!F214</f>
        <v>0</v>
      </c>
      <c r="G25">
        <f>'附件4 规划外'!G214</f>
        <v>5</v>
      </c>
      <c r="H25">
        <f>'附件4 规划外'!H214</f>
        <v>0</v>
      </c>
      <c r="I25" t="str">
        <f>'附件4 规划外'!I214</f>
        <v>完工</v>
      </c>
      <c r="J25">
        <f>'附件4 规划外'!J214</f>
        <v>5</v>
      </c>
      <c r="K25">
        <f>'附件4 规划外'!K214</f>
        <v>5</v>
      </c>
      <c r="L25" t="str">
        <f>'附件4 规划外'!L214</f>
        <v>已完成</v>
      </c>
      <c r="M25" s="26">
        <f>'附件4 规划外'!M214</f>
        <v>44682</v>
      </c>
      <c r="N25" s="26">
        <f>'附件4 规划外'!N214</f>
        <v>44713</v>
      </c>
      <c r="O25" t="str">
        <f>'附件4 规划外'!O214</f>
        <v>市水利局</v>
      </c>
      <c r="P25" t="str">
        <f>'附件4 规划外'!P214</f>
        <v>尉氏县</v>
      </c>
      <c r="Q25">
        <f>'附件4 规划外'!Q214</f>
        <v>0</v>
      </c>
    </row>
    <row r="26" spans="13:14">
      <c r="M26" s="26"/>
      <c r="N26" s="26"/>
    </row>
    <row r="27" spans="13:14">
      <c r="M27" s="26"/>
      <c r="N27" s="26"/>
    </row>
    <row r="28" spans="1:25">
      <c r="A28" s="13" t="s">
        <v>1153</v>
      </c>
      <c r="B28" s="14"/>
      <c r="C28" s="14"/>
      <c r="D28" s="14"/>
      <c r="E28" s="14"/>
      <c r="F28" s="14"/>
      <c r="G28" s="14"/>
      <c r="H28" s="14"/>
      <c r="I28" s="14"/>
      <c r="J28" s="14"/>
      <c r="K28" s="14"/>
      <c r="L28" s="14"/>
      <c r="M28" s="14"/>
      <c r="N28" s="14"/>
      <c r="O28" s="14"/>
      <c r="P28" s="14"/>
      <c r="Q28" s="14"/>
      <c r="R28" s="14"/>
      <c r="S28" s="16" t="s">
        <v>1154</v>
      </c>
      <c r="T28" s="16"/>
      <c r="U28" s="16"/>
      <c r="V28" s="16"/>
      <c r="W28" s="16"/>
      <c r="X28" s="16"/>
      <c r="Y28" s="16"/>
    </row>
    <row r="29" ht="51" spans="1:25">
      <c r="A29" s="6" t="s">
        <v>0</v>
      </c>
      <c r="B29" s="6" t="s">
        <v>1</v>
      </c>
      <c r="C29" s="6" t="s">
        <v>2</v>
      </c>
      <c r="D29" s="6" t="s">
        <v>3</v>
      </c>
      <c r="E29" s="7" t="s">
        <v>4</v>
      </c>
      <c r="F29" s="15" t="s">
        <v>576</v>
      </c>
      <c r="G29" s="15" t="s">
        <v>577</v>
      </c>
      <c r="H29" s="15" t="s">
        <v>578</v>
      </c>
      <c r="I29" s="7" t="s">
        <v>8</v>
      </c>
      <c r="J29" s="7" t="s">
        <v>9</v>
      </c>
      <c r="K29" s="7" t="s">
        <v>10</v>
      </c>
      <c r="L29" s="7" t="s">
        <v>11</v>
      </c>
      <c r="M29" s="7" t="s">
        <v>12</v>
      </c>
      <c r="N29" s="7" t="s">
        <v>13</v>
      </c>
      <c r="O29" s="6" t="s">
        <v>581</v>
      </c>
      <c r="P29" s="6" t="s">
        <v>15</v>
      </c>
      <c r="Q29" s="6" t="s">
        <v>16</v>
      </c>
      <c r="R29" s="6" t="s">
        <v>17</v>
      </c>
      <c r="S29" s="19"/>
      <c r="T29" s="20" t="s">
        <v>1141</v>
      </c>
      <c r="U29" s="20" t="s">
        <v>1120</v>
      </c>
      <c r="V29" s="20" t="s">
        <v>1142</v>
      </c>
      <c r="W29" s="20" t="s">
        <v>1143</v>
      </c>
      <c r="X29" s="20" t="s">
        <v>1144</v>
      </c>
      <c r="Y29" s="23" t="s">
        <v>1151</v>
      </c>
    </row>
    <row r="30" spans="1:25">
      <c r="A30" t="e">
        <f>'附件4 规划外'!#REF!</f>
        <v>#REF!</v>
      </c>
      <c r="B30" s="102" t="e">
        <f>'附件4 规划外'!#REF!</f>
        <v>#REF!</v>
      </c>
      <c r="C30" t="e">
        <f>'附件4 规划外'!#REF!</f>
        <v>#REF!</v>
      </c>
      <c r="D30" t="e">
        <f>'附件4 规划外'!#REF!</f>
        <v>#REF!</v>
      </c>
      <c r="E30">
        <v>1345</v>
      </c>
      <c r="F30" t="e">
        <f>'附件4 规划外'!#REF!</f>
        <v>#REF!</v>
      </c>
      <c r="G30" t="e">
        <f>'附件4 规划外'!#REF!</f>
        <v>#REF!</v>
      </c>
      <c r="H30" t="e">
        <f>'附件4 规划外'!#REF!</f>
        <v>#REF!</v>
      </c>
      <c r="I30" t="e">
        <f>'附件4 规划外'!#REF!</f>
        <v>#REF!</v>
      </c>
      <c r="J30" t="e">
        <f>'附件4 规划外'!#REF!</f>
        <v>#REF!</v>
      </c>
      <c r="K30" t="e">
        <f>'附件4 规划外'!#REF!</f>
        <v>#REF!</v>
      </c>
      <c r="L30" t="e">
        <f>'附件4 规划外'!#REF!</f>
        <v>#REF!</v>
      </c>
      <c r="M30" s="26" t="e">
        <f>'附件4 规划外'!#REF!</f>
        <v>#REF!</v>
      </c>
      <c r="N30" s="26" t="e">
        <f>'附件4 规划外'!#REF!</f>
        <v>#REF!</v>
      </c>
      <c r="O30" t="e">
        <f>'附件4 规划外'!#REF!</f>
        <v>#REF!</v>
      </c>
      <c r="P30" t="e">
        <f>'附件4 规划外'!#REF!</f>
        <v>#REF!</v>
      </c>
      <c r="Q30" t="e">
        <f>'附件4 规划外'!#REF!</f>
        <v>#REF!</v>
      </c>
      <c r="S30" s="19" t="s">
        <v>1146</v>
      </c>
      <c r="T30" s="20">
        <f>COUNT(A30:A33)</f>
        <v>3</v>
      </c>
      <c r="U30" s="24">
        <f>SUM(E30:E33)</f>
        <v>4485</v>
      </c>
      <c r="V30" s="24">
        <f>COUNTIF(I30:I33,"在建")+COUNTIF(I30:I33,"完工")</f>
        <v>3</v>
      </c>
      <c r="W30" s="24">
        <f>COUNTIF(I30:I33,"完工")</f>
        <v>0</v>
      </c>
      <c r="X30" s="20" t="e">
        <f>SUM(J30:J33)</f>
        <v>#REF!</v>
      </c>
      <c r="Y30" s="25" t="e">
        <f>IF(U30=0,"-",ROUND(X30/U30,3))</f>
        <v>#REF!</v>
      </c>
    </row>
    <row r="31" ht="27" spans="1:25">
      <c r="A31">
        <f>'附件4 规划外'!A216</f>
        <v>230</v>
      </c>
      <c r="B31" t="str">
        <f>'附件4 规划外'!B216</f>
        <v>兰考县薛楼城中村改造项目（嘉和苑一期）配套基础设施建设项目</v>
      </c>
      <c r="C31" t="str">
        <f>'附件4 规划外'!C216</f>
        <v>其他</v>
      </c>
      <c r="D31" t="str">
        <f>'附件4 规划外'!D216</f>
        <v>棚户区改造相关配套基础设施建设</v>
      </c>
      <c r="E31">
        <f>'附件4 规划外'!E216</f>
        <v>1488</v>
      </c>
      <c r="F31">
        <f>'附件4 规划外'!F216</f>
        <v>0</v>
      </c>
      <c r="G31">
        <f>'附件4 规划外'!G216</f>
        <v>1488</v>
      </c>
      <c r="H31">
        <f>'附件4 规划外'!H216</f>
        <v>0</v>
      </c>
      <c r="I31" t="str">
        <f>'附件4 规划外'!I216</f>
        <v>在建</v>
      </c>
      <c r="J31">
        <f>'附件4 规划外'!J216</f>
        <v>297</v>
      </c>
      <c r="K31">
        <f>'附件4 规划外'!K216</f>
        <v>297</v>
      </c>
      <c r="L31" t="str">
        <f>'附件4 规划外'!L216</f>
        <v>正在进行招投标手续，手续完成后开工</v>
      </c>
      <c r="M31" s="26">
        <f>'附件4 规划外'!M216</f>
        <v>44713</v>
      </c>
      <c r="N31" s="26">
        <f>'附件4 规划外'!N216</f>
        <v>44896</v>
      </c>
      <c r="O31" t="str">
        <f>'附件4 规划外'!O216</f>
        <v>市住房城乡建设局</v>
      </c>
      <c r="P31" t="str">
        <f>'附件4 规划外'!P216</f>
        <v>兰考县</v>
      </c>
      <c r="Q31">
        <f>'附件4 规划外'!Q216</f>
        <v>0</v>
      </c>
      <c r="S31" s="19" t="s">
        <v>1148</v>
      </c>
      <c r="T31" s="20">
        <f>COUNTIF(G30:G33,"&gt;0")</f>
        <v>3</v>
      </c>
      <c r="U31" s="24">
        <f>U30*0.5</f>
        <v>2242.5</v>
      </c>
      <c r="V31" s="24">
        <f>COUNTIFS(G30:G33,"&gt;0",I30:I33,"完工")+COUNTIFS(G30:G33,"&gt;0",I30:I33,"在建")</f>
        <v>3</v>
      </c>
      <c r="W31" s="24">
        <f>COUNTIFS(G30:G33,"&gt;0",I30:I33,"完工")</f>
        <v>0</v>
      </c>
      <c r="X31" s="20" t="e">
        <f>SUM(K30:K33)</f>
        <v>#REF!</v>
      </c>
      <c r="Y31" s="25" t="e">
        <f>IF(U31=0,"-",ROUND(X31/U31,3))</f>
        <v>#REF!</v>
      </c>
    </row>
    <row r="32" spans="1:17">
      <c r="A32">
        <f>'附件4 规划外'!A222</f>
        <v>236</v>
      </c>
      <c r="B32" t="str">
        <f>'附件4 规划外'!B222</f>
        <v>鼓楼区西司门办事处观前街片区老旧小区改造项目</v>
      </c>
      <c r="C32" t="str">
        <f>'附件4 规划外'!C222</f>
        <v>其他</v>
      </c>
      <c r="D32" t="str">
        <f>'附件4 规划外'!D222</f>
        <v>项目改造内容主要是对道路、大门及围墙、照明系统、消防、
安防工程、管线入地工程及标识系统等进行改造。</v>
      </c>
      <c r="E32">
        <v>1009</v>
      </c>
      <c r="F32">
        <f>'附件4 规划外'!F222</f>
        <v>0</v>
      </c>
      <c r="G32">
        <f>'附件4 规划外'!G222</f>
        <v>1009.67</v>
      </c>
      <c r="H32">
        <f>'附件4 规划外'!H222</f>
        <v>0</v>
      </c>
      <c r="I32" t="str">
        <f>'附件4 规划外'!I222</f>
        <v>在建</v>
      </c>
      <c r="J32">
        <f>'附件4 规划外'!J222</f>
        <v>500</v>
      </c>
      <c r="K32">
        <f>'附件4 规划外'!K222</f>
        <v>500</v>
      </c>
      <c r="L32">
        <f>'附件4 规划外'!L222</f>
        <v>0</v>
      </c>
      <c r="M32" s="26">
        <f>'附件4 规划外'!M222</f>
        <v>44712</v>
      </c>
      <c r="N32" s="26">
        <f>'附件4 规划外'!N222</f>
        <v>44926</v>
      </c>
      <c r="O32" t="str">
        <f>'附件4 规划外'!O222</f>
        <v>市住房城乡建设局</v>
      </c>
      <c r="P32" t="str">
        <f>'附件4 规划外'!P222</f>
        <v>鼓楼区</v>
      </c>
      <c r="Q32">
        <f>'附件4 规划外'!Q222</f>
        <v>0</v>
      </c>
    </row>
    <row r="33" spans="1:17">
      <c r="A33">
        <f>'附件4 规划外'!A223</f>
        <v>237</v>
      </c>
      <c r="B33" t="str">
        <f>'附件4 规划外'!B223</f>
        <v>示范区老旧小区改造汉中片区红线内配套基础设施建设项目</v>
      </c>
      <c r="C33" t="str">
        <f>'附件4 规划外'!C223</f>
        <v>其他</v>
      </c>
      <c r="D33" t="str">
        <f>'附件4 规划外'!D223</f>
        <v>道路、排水、绿化、监控、照明、供水、消防设施等</v>
      </c>
      <c r="E33">
        <f>'附件4 规划外'!E223</f>
        <v>643</v>
      </c>
      <c r="F33">
        <f>'附件4 规划外'!F223</f>
        <v>0</v>
      </c>
      <c r="G33">
        <f>'附件4 规划外'!G223</f>
        <v>643</v>
      </c>
      <c r="H33">
        <f>'附件4 规划外'!H223</f>
        <v>0</v>
      </c>
      <c r="I33" t="str">
        <f>'附件4 规划外'!I223</f>
        <v>在建</v>
      </c>
      <c r="J33">
        <f>'附件4 规划外'!J223</f>
        <v>180</v>
      </c>
      <c r="K33">
        <f>'附件4 规划外'!K223</f>
        <v>180</v>
      </c>
      <c r="L33" t="str">
        <f>'附件4 规划外'!L223</f>
        <v>1、招投标工作已完成；2、设计方案已完成；3、施工单位技术人员正在现场摸排，5月底前全部开工。</v>
      </c>
      <c r="M33" s="26">
        <f>'附件4 规划外'!M223</f>
        <v>44712</v>
      </c>
      <c r="N33" s="26">
        <f>'附件4 规划外'!N223</f>
        <v>44926</v>
      </c>
      <c r="O33" t="str">
        <f>'附件4 规划外'!O223</f>
        <v>市住房城乡建设局</v>
      </c>
      <c r="P33" t="str">
        <f>'附件4 规划外'!P223</f>
        <v>城乡一体化示范区</v>
      </c>
      <c r="Q33">
        <f>'附件4 规划外'!Q223</f>
        <v>0</v>
      </c>
    </row>
    <row r="34" spans="13:14">
      <c r="M34" s="26"/>
      <c r="N34" s="26"/>
    </row>
    <row r="35" spans="13:14">
      <c r="M35" s="26"/>
      <c r="N35" s="26"/>
    </row>
    <row r="36" spans="1:25">
      <c r="A36" s="13" t="s">
        <v>1155</v>
      </c>
      <c r="B36" s="14"/>
      <c r="C36" s="14"/>
      <c r="D36" s="14"/>
      <c r="E36" s="14"/>
      <c r="F36" s="14"/>
      <c r="G36" s="14"/>
      <c r="H36" s="14"/>
      <c r="I36" s="14"/>
      <c r="J36" s="14"/>
      <c r="K36" s="14"/>
      <c r="L36" s="14"/>
      <c r="M36" s="14"/>
      <c r="N36" s="14"/>
      <c r="O36" s="14"/>
      <c r="P36" s="14"/>
      <c r="Q36" s="14"/>
      <c r="R36" s="14"/>
      <c r="S36" s="16" t="s">
        <v>1156</v>
      </c>
      <c r="T36" s="16"/>
      <c r="U36" s="16"/>
      <c r="V36" s="16"/>
      <c r="W36" s="16"/>
      <c r="X36" s="16"/>
      <c r="Y36" s="16"/>
    </row>
    <row r="37" ht="51" spans="1:25">
      <c r="A37" s="6" t="s">
        <v>0</v>
      </c>
      <c r="B37" s="6" t="s">
        <v>1</v>
      </c>
      <c r="C37" s="6" t="s">
        <v>2</v>
      </c>
      <c r="D37" s="6" t="s">
        <v>3</v>
      </c>
      <c r="E37" s="7" t="s">
        <v>4</v>
      </c>
      <c r="F37" s="15" t="s">
        <v>576</v>
      </c>
      <c r="G37" s="15" t="s">
        <v>577</v>
      </c>
      <c r="H37" s="15" t="s">
        <v>578</v>
      </c>
      <c r="I37" s="7" t="s">
        <v>8</v>
      </c>
      <c r="J37" s="7" t="s">
        <v>9</v>
      </c>
      <c r="K37" s="7" t="s">
        <v>10</v>
      </c>
      <c r="L37" s="7" t="s">
        <v>11</v>
      </c>
      <c r="M37" s="7" t="s">
        <v>12</v>
      </c>
      <c r="N37" s="7" t="s">
        <v>13</v>
      </c>
      <c r="O37" s="6" t="s">
        <v>581</v>
      </c>
      <c r="P37" s="6" t="s">
        <v>15</v>
      </c>
      <c r="Q37" s="6" t="s">
        <v>16</v>
      </c>
      <c r="R37" s="6" t="s">
        <v>17</v>
      </c>
      <c r="S37" s="19"/>
      <c r="T37" s="20" t="s">
        <v>1141</v>
      </c>
      <c r="U37" s="20" t="s">
        <v>1120</v>
      </c>
      <c r="V37" s="20" t="s">
        <v>1142</v>
      </c>
      <c r="W37" s="20" t="s">
        <v>1143</v>
      </c>
      <c r="X37" s="20" t="s">
        <v>1144</v>
      </c>
      <c r="Y37" s="23" t="s">
        <v>1151</v>
      </c>
    </row>
    <row r="38" spans="1:25">
      <c r="A38">
        <f>'附件4 规划外'!A220</f>
        <v>234</v>
      </c>
      <c r="B38" t="str">
        <f>'附件4 规划外'!B220</f>
        <v>兰考县兰阳街道第一小学教学用房、餐厅项目</v>
      </c>
      <c r="C38" t="str">
        <f>'附件4 规划外'!C220</f>
        <v>其他</v>
      </c>
      <c r="D38" t="str">
        <f>'附件4 规划外'!D220</f>
        <v>教学楼</v>
      </c>
      <c r="E38">
        <f>'附件4 规划外'!E220</f>
        <v>1250</v>
      </c>
      <c r="F38">
        <f>'附件4 规划外'!F220</f>
        <v>0</v>
      </c>
      <c r="G38">
        <f>'附件4 规划外'!G220</f>
        <v>700</v>
      </c>
      <c r="H38">
        <f>'附件4 规划外'!H220</f>
        <v>0</v>
      </c>
      <c r="I38" t="str">
        <f>'附件4 规划外'!I220</f>
        <v>在建</v>
      </c>
      <c r="J38">
        <f>'附件4 规划外'!J220</f>
        <v>700</v>
      </c>
      <c r="K38">
        <f>'附件4 规划外'!K220</f>
        <v>700</v>
      </c>
      <c r="L38">
        <f>'附件4 规划外'!L220</f>
        <v>0</v>
      </c>
      <c r="M38" s="26">
        <f>'附件4 规划外'!M220</f>
        <v>44562</v>
      </c>
      <c r="N38" s="26">
        <f>'附件4 规划外'!N220</f>
        <v>45261</v>
      </c>
      <c r="O38" t="str">
        <f>'附件4 规划外'!O220</f>
        <v>市教体局</v>
      </c>
      <c r="P38" t="str">
        <f>'附件4 规划外'!P220</f>
        <v>兰考县</v>
      </c>
      <c r="Q38">
        <f>'附件4 规划外'!Q220</f>
        <v>0</v>
      </c>
      <c r="S38" s="19" t="s">
        <v>1146</v>
      </c>
      <c r="T38" s="20">
        <f>COUNT(A38:A39)</f>
        <v>2</v>
      </c>
      <c r="U38" s="24">
        <f>SUM(E38:E39)</f>
        <v>2500</v>
      </c>
      <c r="V38" s="24">
        <f>COUNTIF(I38:I39,"在建")+COUNTIF(I38:I39,"完工")</f>
        <v>2</v>
      </c>
      <c r="W38" s="24">
        <f>COUNTIF(I38:I39,"完工")</f>
        <v>0</v>
      </c>
      <c r="X38" s="20">
        <f>SUM(J38:J39)</f>
        <v>730</v>
      </c>
      <c r="Y38" s="25">
        <f>IF(U38=0,"-",ROUND(X38/U38,3))</f>
        <v>0.292</v>
      </c>
    </row>
    <row r="39" ht="27" spans="1:25">
      <c r="A39">
        <f>'附件4 规划外'!A221</f>
        <v>235</v>
      </c>
      <c r="B39" t="str">
        <f>'附件4 规划外'!B221</f>
        <v>兰考县兰阳第三中学建设项目</v>
      </c>
      <c r="C39" t="str">
        <f>'附件4 规划外'!C221</f>
        <v>其他</v>
      </c>
      <c r="D39" t="str">
        <f>'附件4 规划外'!D221</f>
        <v>教学楼、运动场</v>
      </c>
      <c r="E39">
        <f>'附件4 规划外'!E221</f>
        <v>1250</v>
      </c>
      <c r="F39">
        <f>'附件4 规划外'!F221</f>
        <v>0</v>
      </c>
      <c r="G39">
        <f>'附件4 规划外'!G221</f>
        <v>300</v>
      </c>
      <c r="H39">
        <f>'附件4 规划外'!H221</f>
        <v>0</v>
      </c>
      <c r="I39" t="str">
        <f>'附件4 规划外'!I221</f>
        <v>在建</v>
      </c>
      <c r="J39">
        <f>'附件4 规划外'!J221</f>
        <v>30</v>
      </c>
      <c r="K39">
        <f>'附件4 规划外'!K221</f>
        <v>30</v>
      </c>
      <c r="L39">
        <f>'附件4 规划外'!L221</f>
        <v>0</v>
      </c>
      <c r="M39" s="26">
        <f>'附件4 规划外'!M221</f>
        <v>44835</v>
      </c>
      <c r="N39" s="26">
        <f>'附件4 规划外'!N221</f>
        <v>45261</v>
      </c>
      <c r="O39" t="str">
        <f>'附件4 规划外'!O221</f>
        <v>市教体局</v>
      </c>
      <c r="P39" t="str">
        <f>'附件4 规划外'!P221</f>
        <v>兰考县</v>
      </c>
      <c r="Q39">
        <f>'附件4 规划外'!Q221</f>
        <v>0</v>
      </c>
      <c r="S39" s="19" t="s">
        <v>1148</v>
      </c>
      <c r="T39" s="20">
        <f>COUNTIF(G38:G39,"&gt;0")</f>
        <v>2</v>
      </c>
      <c r="U39" s="24">
        <f>U38*0.5</f>
        <v>1250</v>
      </c>
      <c r="V39" s="24">
        <f>COUNTIFS(G38:G39,"&gt;0",I38:I39,"完工")+COUNTIFS(G38:G39,"&gt;0",I38:I39,"在建")</f>
        <v>2</v>
      </c>
      <c r="W39" s="24">
        <f>COUNTIFS(G38:G39,"&gt;0",I38:I39,"完工")</f>
        <v>0</v>
      </c>
      <c r="X39" s="20">
        <f>SUM(K38:K39)</f>
        <v>730</v>
      </c>
      <c r="Y39" s="25">
        <f>IF(U39=0,"-",ROUND(X39/U39,3))</f>
        <v>0.584</v>
      </c>
    </row>
    <row r="42" spans="1:25">
      <c r="A42" s="13" t="s">
        <v>1157</v>
      </c>
      <c r="B42" s="14"/>
      <c r="C42" s="14"/>
      <c r="D42" s="14"/>
      <c r="E42" s="14"/>
      <c r="F42" s="14"/>
      <c r="G42" s="14"/>
      <c r="H42" s="14"/>
      <c r="I42" s="14"/>
      <c r="J42" s="14"/>
      <c r="K42" s="14"/>
      <c r="L42" s="14"/>
      <c r="M42" s="14"/>
      <c r="N42" s="14"/>
      <c r="O42" s="14"/>
      <c r="P42" s="14"/>
      <c r="Q42" s="14"/>
      <c r="R42" s="14"/>
      <c r="S42" s="16" t="s">
        <v>1158</v>
      </c>
      <c r="T42" s="16"/>
      <c r="U42" s="16"/>
      <c r="V42" s="16"/>
      <c r="W42" s="16"/>
      <c r="X42" s="16"/>
      <c r="Y42" s="16"/>
    </row>
    <row r="43" ht="51" spans="1:25">
      <c r="A43" s="6" t="s">
        <v>0</v>
      </c>
      <c r="B43" s="6" t="s">
        <v>1</v>
      </c>
      <c r="C43" s="6" t="s">
        <v>2</v>
      </c>
      <c r="D43" s="6" t="s">
        <v>3</v>
      </c>
      <c r="E43" s="7" t="s">
        <v>4</v>
      </c>
      <c r="F43" s="15" t="s">
        <v>576</v>
      </c>
      <c r="G43" s="15" t="s">
        <v>577</v>
      </c>
      <c r="H43" s="15" t="s">
        <v>578</v>
      </c>
      <c r="I43" s="7" t="s">
        <v>8</v>
      </c>
      <c r="J43" s="7" t="s">
        <v>9</v>
      </c>
      <c r="K43" s="7" t="s">
        <v>10</v>
      </c>
      <c r="L43" s="7" t="s">
        <v>11</v>
      </c>
      <c r="M43" s="7" t="s">
        <v>12</v>
      </c>
      <c r="N43" s="7" t="s">
        <v>13</v>
      </c>
      <c r="O43" s="6" t="s">
        <v>581</v>
      </c>
      <c r="P43" s="6" t="s">
        <v>15</v>
      </c>
      <c r="Q43" s="6" t="s">
        <v>16</v>
      </c>
      <c r="R43" s="6" t="s">
        <v>17</v>
      </c>
      <c r="S43" s="19"/>
      <c r="T43" s="20" t="s">
        <v>1141</v>
      </c>
      <c r="U43" s="20" t="s">
        <v>1120</v>
      </c>
      <c r="V43" s="20" t="s">
        <v>1142</v>
      </c>
      <c r="W43" s="20" t="s">
        <v>1143</v>
      </c>
      <c r="X43" s="20" t="s">
        <v>1144</v>
      </c>
      <c r="Y43" s="23" t="s">
        <v>1151</v>
      </c>
    </row>
    <row r="44" spans="1:25">
      <c r="A44">
        <f>'附件4 规划外'!A224</f>
        <v>238</v>
      </c>
      <c r="B44" t="str">
        <f>'附件4 规划外'!B224</f>
        <v>禹王台区城市排水防涝数字化综合信息管理平台项目</v>
      </c>
      <c r="C44" t="str">
        <f>'附件4 规划外'!C224</f>
        <v>其他</v>
      </c>
      <c r="D44" t="str">
        <f>'附件4 规划外'!D224</f>
        <v>提升改造指挥中心，提升改造海绵城市，提升排涝除险设备。</v>
      </c>
      <c r="E44">
        <f>'附件4 规划外'!E224</f>
        <v>4000</v>
      </c>
      <c r="F44">
        <f>'附件4 规划外'!F224</f>
        <v>0</v>
      </c>
      <c r="G44">
        <f>'附件4 规划外'!G224</f>
        <v>2000</v>
      </c>
      <c r="H44">
        <f>'附件4 规划外'!H224</f>
        <v>0</v>
      </c>
      <c r="I44" t="str">
        <f>'附件4 规划外'!I224</f>
        <v>在建</v>
      </c>
      <c r="J44">
        <f>'附件4 规划外'!J224</f>
        <v>21</v>
      </c>
      <c r="K44">
        <f>'附件4 规划外'!K224</f>
        <v>21</v>
      </c>
      <c r="L44" t="str">
        <f>'附件4 规划外'!L224</f>
        <v>正在办理招投标前期手续</v>
      </c>
      <c r="M44" s="26">
        <f>'附件4 规划外'!M224</f>
        <v>44682</v>
      </c>
      <c r="N44" s="26">
        <f>'附件4 规划外'!N224</f>
        <v>44866</v>
      </c>
      <c r="O44" t="str">
        <f>'附件4 规划外'!O224</f>
        <v>市城管局</v>
      </c>
      <c r="P44" t="str">
        <f>'附件4 规划外'!P224</f>
        <v>禹王台区</v>
      </c>
      <c r="Q44">
        <f>'附件4 规划外'!Q224</f>
        <v>0</v>
      </c>
      <c r="S44" s="19" t="s">
        <v>1146</v>
      </c>
      <c r="T44" s="20">
        <f>COUNT(A44:A45)</f>
        <v>1</v>
      </c>
      <c r="U44" s="24">
        <f>SUM(E44)</f>
        <v>4000</v>
      </c>
      <c r="V44" s="24">
        <f>COUNTIF(I44:I45,"在建")+COUNTIF(I44:I45,"完工")</f>
        <v>1</v>
      </c>
      <c r="W44" s="24">
        <f>COUNTIF(I44:I45,"完工")</f>
        <v>0</v>
      </c>
      <c r="X44" s="20">
        <f>SUM(J44:J45)</f>
        <v>21</v>
      </c>
      <c r="Y44" s="25">
        <f>IF(U44=0,"-",ROUND(X44/U44,3))</f>
        <v>0.005</v>
      </c>
    </row>
    <row r="45" ht="27" spans="19:25">
      <c r="S45" s="19" t="s">
        <v>1148</v>
      </c>
      <c r="T45" s="20">
        <f>COUNTIF(G44:G45,"&gt;0")</f>
        <v>1</v>
      </c>
      <c r="U45" s="24">
        <f>U44*0.5</f>
        <v>2000</v>
      </c>
      <c r="V45" s="24">
        <f>COUNTIFS(G44:G45,"&gt;0",I44:I45,"完工")+COUNTIFS(G44:G45,"&gt;0",I44:I45,"在建")</f>
        <v>1</v>
      </c>
      <c r="W45" s="24">
        <f>COUNTIFS(G44:G45,"&gt;0",I44:I45,"完工")</f>
        <v>0</v>
      </c>
      <c r="X45" s="20">
        <f>SUM(K44:K45)</f>
        <v>21</v>
      </c>
      <c r="Y45" s="25">
        <f>IF(U45=0,"-",ROUND(X45/U45,3))</f>
        <v>0.011</v>
      </c>
    </row>
    <row r="47" spans="1:25">
      <c r="A47" s="13" t="s">
        <v>1159</v>
      </c>
      <c r="B47" s="14"/>
      <c r="C47" s="14"/>
      <c r="D47" s="14"/>
      <c r="E47" s="14"/>
      <c r="F47" s="14"/>
      <c r="G47" s="14"/>
      <c r="H47" s="14"/>
      <c r="I47" s="14"/>
      <c r="J47" s="14"/>
      <c r="K47" s="14"/>
      <c r="L47" s="14"/>
      <c r="M47" s="14"/>
      <c r="N47" s="14"/>
      <c r="O47" s="14"/>
      <c r="P47" s="14"/>
      <c r="Q47" s="14"/>
      <c r="R47" s="14"/>
      <c r="S47" s="16" t="s">
        <v>1160</v>
      </c>
      <c r="T47" s="16"/>
      <c r="U47" s="16"/>
      <c r="V47" s="16"/>
      <c r="W47" s="16"/>
      <c r="X47" s="16"/>
      <c r="Y47" s="16"/>
    </row>
    <row r="48" ht="51" spans="1:25">
      <c r="A48" s="6" t="s">
        <v>0</v>
      </c>
      <c r="B48" s="6" t="s">
        <v>1</v>
      </c>
      <c r="C48" s="6" t="s">
        <v>2</v>
      </c>
      <c r="D48" s="6" t="s">
        <v>3</v>
      </c>
      <c r="E48" s="7" t="s">
        <v>4</v>
      </c>
      <c r="F48" s="15" t="s">
        <v>576</v>
      </c>
      <c r="G48" s="15" t="s">
        <v>577</v>
      </c>
      <c r="H48" s="15" t="s">
        <v>578</v>
      </c>
      <c r="I48" s="7" t="s">
        <v>8</v>
      </c>
      <c r="J48" s="7" t="s">
        <v>9</v>
      </c>
      <c r="K48" s="7" t="s">
        <v>10</v>
      </c>
      <c r="L48" s="7" t="s">
        <v>11</v>
      </c>
      <c r="M48" s="7" t="s">
        <v>12</v>
      </c>
      <c r="N48" s="7" t="s">
        <v>13</v>
      </c>
      <c r="O48" s="6" t="s">
        <v>581</v>
      </c>
      <c r="P48" s="6" t="s">
        <v>15</v>
      </c>
      <c r="Q48" s="6" t="s">
        <v>16</v>
      </c>
      <c r="R48" s="6" t="s">
        <v>17</v>
      </c>
      <c r="S48" s="19"/>
      <c r="T48" s="20" t="s">
        <v>1141</v>
      </c>
      <c r="U48" s="20" t="s">
        <v>1120</v>
      </c>
      <c r="V48" s="20" t="s">
        <v>1142</v>
      </c>
      <c r="W48" s="20" t="s">
        <v>1143</v>
      </c>
      <c r="X48" s="20" t="s">
        <v>1144</v>
      </c>
      <c r="Y48" s="23" t="s">
        <v>1151</v>
      </c>
    </row>
    <row r="49" spans="1:25">
      <c r="A49">
        <f>'附件4 规划外'!A215</f>
        <v>229</v>
      </c>
      <c r="B49" t="str">
        <f>'附件4 规划外'!B215</f>
        <v>新增开封市街道（社区）综合养老服务中心项目</v>
      </c>
      <c r="C49" t="str">
        <f>'附件4 规划外'!C215</f>
        <v>其他</v>
      </c>
      <c r="D49">
        <f>'附件4 规划外'!D215</f>
        <v>0</v>
      </c>
      <c r="E49">
        <f>'附件4 规划外'!E215</f>
        <v>6853</v>
      </c>
      <c r="F49">
        <f>'附件4 规划外'!F215</f>
        <v>0</v>
      </c>
      <c r="G49">
        <f>'附件4 规划外'!G215</f>
        <v>3500</v>
      </c>
      <c r="H49">
        <f>'附件4 规划外'!H215</f>
        <v>0</v>
      </c>
      <c r="I49" t="str">
        <f>'附件4 规划外'!I215</f>
        <v>在建</v>
      </c>
      <c r="J49">
        <f>'附件4 规划外'!J215</f>
        <v>2700</v>
      </c>
      <c r="K49">
        <f>'附件4 规划外'!K215</f>
        <v>2700</v>
      </c>
      <c r="L49">
        <f>'附件4 规划外'!L215</f>
        <v>0</v>
      </c>
      <c r="M49" s="26">
        <f>'附件4 规划外'!M215</f>
        <v>44682</v>
      </c>
      <c r="N49" s="26">
        <f>'附件4 规划外'!N215</f>
        <v>44866</v>
      </c>
      <c r="O49" t="str">
        <f>'附件4 规划外'!O215</f>
        <v>市民政局</v>
      </c>
      <c r="P49" t="str">
        <f>'附件4 规划外'!P215</f>
        <v>市本级</v>
      </c>
      <c r="Q49">
        <f>'附件4 规划外'!Q215</f>
        <v>0</v>
      </c>
      <c r="S49" s="19" t="s">
        <v>1146</v>
      </c>
      <c r="T49" s="20">
        <f>COUNT(A49:A50)</f>
        <v>1</v>
      </c>
      <c r="U49" s="24">
        <f>SUM(E49)</f>
        <v>6853</v>
      </c>
      <c r="V49" s="24">
        <f>COUNTIF(I49:I50,"在建")+COUNTIF(I49:I50,"完工")</f>
        <v>1</v>
      </c>
      <c r="W49" s="24">
        <f>COUNTIF(I49:I50,"完工")</f>
        <v>0</v>
      </c>
      <c r="X49" s="20">
        <f>SUM(J49:J50)</f>
        <v>2700</v>
      </c>
      <c r="Y49" s="25">
        <f>IF(U49=0,"-",ROUND(X49/U49,3))</f>
        <v>0.394</v>
      </c>
    </row>
    <row r="50" ht="27" spans="19:25">
      <c r="S50" s="19" t="s">
        <v>1148</v>
      </c>
      <c r="T50" s="20">
        <f>COUNTIF(G49:G50,"&gt;0")</f>
        <v>1</v>
      </c>
      <c r="U50" s="24">
        <f>U49*0.5</f>
        <v>3426.5</v>
      </c>
      <c r="V50" s="24">
        <f>COUNTIFS(G49:G50,"&gt;0",I49:I50,"完工")+COUNTIFS(G49:G50,"&gt;0",I49:I50,"在建")</f>
        <v>1</v>
      </c>
      <c r="W50" s="24">
        <f>COUNTIFS(G49:G50,"&gt;0",I49:I50,"完工")</f>
        <v>0</v>
      </c>
      <c r="X50" s="20">
        <f>SUM(K49:K50)</f>
        <v>2700</v>
      </c>
      <c r="Y50" s="25">
        <f>IF(U50=0,"-",ROUND(X50/U50,3))</f>
        <v>0.788</v>
      </c>
    </row>
    <row r="51" spans="19:25">
      <c r="S51" s="95"/>
      <c r="T51" s="96"/>
      <c r="U51" s="97"/>
      <c r="V51" s="97"/>
      <c r="W51" s="97"/>
      <c r="X51" s="96"/>
      <c r="Y51" s="100"/>
    </row>
    <row r="52" spans="1:25">
      <c r="A52" s="13" t="s">
        <v>1161</v>
      </c>
      <c r="B52" s="14"/>
      <c r="C52" s="14"/>
      <c r="D52" s="14"/>
      <c r="E52" s="14"/>
      <c r="F52" s="14"/>
      <c r="G52" s="14"/>
      <c r="H52" s="14"/>
      <c r="I52" s="14"/>
      <c r="J52" s="14"/>
      <c r="K52" s="14"/>
      <c r="L52" s="14"/>
      <c r="M52" s="14"/>
      <c r="N52" s="14"/>
      <c r="O52" s="14"/>
      <c r="P52" s="14"/>
      <c r="Q52" s="14"/>
      <c r="R52" s="14"/>
      <c r="S52" s="16" t="s">
        <v>1162</v>
      </c>
      <c r="T52" s="16"/>
      <c r="U52" s="16"/>
      <c r="V52" s="16"/>
      <c r="W52" s="16"/>
      <c r="X52" s="16"/>
      <c r="Y52" s="16"/>
    </row>
    <row r="53" ht="51" spans="1:25">
      <c r="A53" s="6" t="s">
        <v>0</v>
      </c>
      <c r="B53" s="6" t="s">
        <v>1</v>
      </c>
      <c r="C53" s="6" t="s">
        <v>2</v>
      </c>
      <c r="D53" s="6" t="s">
        <v>3</v>
      </c>
      <c r="E53" s="7" t="s">
        <v>4</v>
      </c>
      <c r="F53" s="15" t="s">
        <v>576</v>
      </c>
      <c r="G53" s="15" t="s">
        <v>577</v>
      </c>
      <c r="H53" s="15" t="s">
        <v>578</v>
      </c>
      <c r="I53" s="7" t="s">
        <v>8</v>
      </c>
      <c r="J53" s="7" t="s">
        <v>9</v>
      </c>
      <c r="K53" s="7" t="s">
        <v>10</v>
      </c>
      <c r="L53" s="7" t="s">
        <v>11</v>
      </c>
      <c r="M53" s="7" t="s">
        <v>12</v>
      </c>
      <c r="N53" s="7" t="s">
        <v>13</v>
      </c>
      <c r="O53" s="6" t="s">
        <v>581</v>
      </c>
      <c r="P53" s="6" t="s">
        <v>15</v>
      </c>
      <c r="Q53" s="6" t="s">
        <v>16</v>
      </c>
      <c r="R53" s="6" t="s">
        <v>17</v>
      </c>
      <c r="S53" s="19"/>
      <c r="T53" s="20" t="s">
        <v>1141</v>
      </c>
      <c r="U53" s="20" t="s">
        <v>1120</v>
      </c>
      <c r="V53" s="20" t="s">
        <v>1142</v>
      </c>
      <c r="W53" s="20" t="s">
        <v>1143</v>
      </c>
      <c r="X53" s="20" t="s">
        <v>1144</v>
      </c>
      <c r="Y53" s="23" t="s">
        <v>1151</v>
      </c>
    </row>
    <row r="54" spans="1:25">
      <c r="A54">
        <f>'附件4 规划外'!A218</f>
        <v>232</v>
      </c>
      <c r="B54" t="str">
        <f>'附件4 规划外'!B218</f>
        <v>焦裕禄烈士墓保护利用设施</v>
      </c>
      <c r="C54" t="str">
        <f>'附件4 规划外'!C218</f>
        <v>其他</v>
      </c>
      <c r="D54">
        <f>'附件4 规划外'!D218</f>
        <v>0</v>
      </c>
      <c r="E54">
        <f>'附件4 规划外'!E218</f>
        <v>2023</v>
      </c>
      <c r="F54">
        <f>'附件4 规划外'!F218</f>
        <v>0</v>
      </c>
      <c r="G54">
        <f>'附件4 规划外'!G218</f>
        <v>1800</v>
      </c>
      <c r="H54">
        <f>'附件4 规划外'!H218</f>
        <v>0</v>
      </c>
      <c r="I54" t="str">
        <f>'附件4 规划外'!I218</f>
        <v>在建</v>
      </c>
      <c r="J54">
        <f>'附件4 规划外'!J218</f>
        <v>700</v>
      </c>
      <c r="K54">
        <f>'附件4 规划外'!K218</f>
        <v>700</v>
      </c>
      <c r="L54">
        <f>'附件4 规划外'!L218</f>
        <v>0</v>
      </c>
      <c r="M54" s="26">
        <f>'附件4 规划外'!M218</f>
        <v>44562</v>
      </c>
      <c r="N54" s="26">
        <f>'附件4 规划外'!N218</f>
        <v>45261</v>
      </c>
      <c r="O54" t="str">
        <f>'附件4 规划外'!O218</f>
        <v>市文化广电旅游局</v>
      </c>
      <c r="P54" t="str">
        <f>'附件4 规划外'!P218</f>
        <v>兰考县</v>
      </c>
      <c r="Q54">
        <f>'附件4 规划外'!Q218</f>
        <v>0</v>
      </c>
      <c r="S54" s="19" t="s">
        <v>1146</v>
      </c>
      <c r="T54" s="20">
        <f>COUNT(A54:A55)</f>
        <v>2</v>
      </c>
      <c r="U54" s="24">
        <f>SUM(E54:E55)</f>
        <v>68433</v>
      </c>
      <c r="V54" s="24">
        <f>COUNTIF(I54:I55,"在建")+COUNTIF(I54:I55,"完工")</f>
        <v>2</v>
      </c>
      <c r="W54" s="24">
        <f>COUNTIF(I54:I55,"完工")</f>
        <v>0</v>
      </c>
      <c r="X54" s="20">
        <f>SUM(J54:J55)</f>
        <v>35554.3</v>
      </c>
      <c r="Y54" s="25">
        <f>IF(U54=0,"-",ROUND(X54/U54,3))</f>
        <v>0.52</v>
      </c>
    </row>
    <row r="55" ht="27" spans="1:25">
      <c r="A55">
        <f>'附件4 规划外'!A219</f>
        <v>233</v>
      </c>
      <c r="B55" t="str">
        <f>'附件4 规划外'!B219</f>
        <v>北宋东京城顺天门（新郑门）遗址展示馆建设项目</v>
      </c>
      <c r="C55" t="str">
        <f>'附件4 规划外'!C219</f>
        <v>其他</v>
      </c>
      <c r="D55">
        <f>'附件4 规划外'!D219</f>
        <v>0</v>
      </c>
      <c r="E55">
        <v>66410</v>
      </c>
      <c r="F55">
        <f>'附件4 规划外'!F219</f>
        <v>0</v>
      </c>
      <c r="G55">
        <f>'附件4 规划外'!G219</f>
        <v>39184</v>
      </c>
      <c r="H55">
        <f>'附件4 规划外'!H219</f>
        <v>0</v>
      </c>
      <c r="I55" t="str">
        <f>'附件4 规划外'!I219</f>
        <v>在建</v>
      </c>
      <c r="J55">
        <f>'附件4 规划外'!J219</f>
        <v>34854.3</v>
      </c>
      <c r="K55">
        <f>'附件4 规划外'!K219</f>
        <v>34854.3</v>
      </c>
      <c r="L55">
        <f>'附件4 规划外'!L219</f>
        <v>0</v>
      </c>
      <c r="M55" s="26">
        <f>'附件4 规划外'!M219</f>
        <v>44562</v>
      </c>
      <c r="N55" s="26">
        <f>'附件4 规划外'!N219</f>
        <v>45261</v>
      </c>
      <c r="O55" t="str">
        <f>'附件4 规划外'!O219</f>
        <v>市文化广电旅游局</v>
      </c>
      <c r="P55" t="str">
        <f>'附件4 规划外'!P219</f>
        <v>市本级</v>
      </c>
      <c r="Q55">
        <f>'附件4 规划外'!Q219</f>
        <v>0</v>
      </c>
      <c r="S55" s="19" t="s">
        <v>1148</v>
      </c>
      <c r="T55" s="20">
        <f>COUNTIF(G54:G55,"&gt;0")</f>
        <v>2</v>
      </c>
      <c r="U55" s="24">
        <f>U54*0.5</f>
        <v>34216.5</v>
      </c>
      <c r="V55" s="24">
        <f>COUNTIFS(G54:G55,"&gt;0",I54:I55,"完工")+COUNTIFS(G54:G55,"&gt;0",I54:I55,"在建")</f>
        <v>2</v>
      </c>
      <c r="W55" s="24">
        <f>COUNTIFS(G54:G55,"&gt;0",I54:I55,"完工")</f>
        <v>0</v>
      </c>
      <c r="X55" s="20">
        <f>SUM(K54:K55)</f>
        <v>35554.3</v>
      </c>
      <c r="Y55" s="25">
        <f>IF(U55=0,"-",ROUND(X55/U55,3))</f>
        <v>1.039</v>
      </c>
    </row>
    <row r="56" spans="13:14">
      <c r="M56" s="26"/>
      <c r="N56" s="26"/>
    </row>
    <row r="57" spans="13:14">
      <c r="M57" s="26"/>
      <c r="N57" s="26"/>
    </row>
    <row r="58" spans="1:25">
      <c r="A58" s="13" t="s">
        <v>1163</v>
      </c>
      <c r="B58" s="14"/>
      <c r="C58" s="14"/>
      <c r="D58" s="14"/>
      <c r="E58" s="14"/>
      <c r="F58" s="14"/>
      <c r="G58" s="14"/>
      <c r="H58" s="14"/>
      <c r="I58" s="14"/>
      <c r="J58" s="14"/>
      <c r="K58" s="14"/>
      <c r="L58" s="14"/>
      <c r="M58" s="14"/>
      <c r="N58" s="14"/>
      <c r="O58" s="14"/>
      <c r="P58" s="14"/>
      <c r="Q58" s="14"/>
      <c r="R58" s="14"/>
      <c r="S58" s="16" t="s">
        <v>1164</v>
      </c>
      <c r="T58" s="16"/>
      <c r="U58" s="16"/>
      <c r="V58" s="16"/>
      <c r="W58" s="16"/>
      <c r="X58" s="16"/>
      <c r="Y58" s="16"/>
    </row>
    <row r="59" ht="51" spans="1:25">
      <c r="A59" s="6" t="s">
        <v>0</v>
      </c>
      <c r="B59" s="6" t="s">
        <v>1</v>
      </c>
      <c r="C59" s="6" t="s">
        <v>2</v>
      </c>
      <c r="D59" s="6" t="s">
        <v>3</v>
      </c>
      <c r="E59" s="7" t="s">
        <v>4</v>
      </c>
      <c r="F59" s="15" t="s">
        <v>576</v>
      </c>
      <c r="G59" s="15" t="s">
        <v>577</v>
      </c>
      <c r="H59" s="15" t="s">
        <v>578</v>
      </c>
      <c r="I59" s="7" t="s">
        <v>8</v>
      </c>
      <c r="J59" s="7" t="s">
        <v>9</v>
      </c>
      <c r="K59" s="7" t="s">
        <v>10</v>
      </c>
      <c r="L59" s="7" t="s">
        <v>11</v>
      </c>
      <c r="M59" s="7" t="s">
        <v>12</v>
      </c>
      <c r="N59" s="7" t="s">
        <v>13</v>
      </c>
      <c r="O59" s="6" t="s">
        <v>581</v>
      </c>
      <c r="P59" s="6" t="s">
        <v>15</v>
      </c>
      <c r="Q59" s="6" t="s">
        <v>16</v>
      </c>
      <c r="R59" s="6" t="s">
        <v>17</v>
      </c>
      <c r="S59" s="19"/>
      <c r="T59" s="20" t="s">
        <v>1141</v>
      </c>
      <c r="U59" s="20" t="s">
        <v>1120</v>
      </c>
      <c r="V59" s="20" t="s">
        <v>1142</v>
      </c>
      <c r="W59" s="20" t="s">
        <v>1143</v>
      </c>
      <c r="X59" s="20" t="s">
        <v>1144</v>
      </c>
      <c r="Y59" s="23" t="s">
        <v>1151</v>
      </c>
    </row>
    <row r="60" spans="1:25">
      <c r="A60">
        <f>'附件4 规划外'!A217</f>
        <v>231</v>
      </c>
      <c r="B60" t="str">
        <f>'附件4 规划外'!B217</f>
        <v>开封童翎教育科技有限公司开封市示范区童翎托育中心项目</v>
      </c>
      <c r="C60" t="str">
        <f>'附件4 规划外'!C217</f>
        <v>其他</v>
      </c>
      <c r="D60" t="str">
        <f>'附件4 规划外'!D217</f>
        <v>托育教室、游戏活动区、家长休息区、绘本阅读区等，集接待室、卫生保健室、多功能室、感统训练室为一体的婴幼儿活动与家长育儿学习的公共场所</v>
      </c>
      <c r="E60">
        <f>'附件4 规划外'!E217</f>
        <v>240</v>
      </c>
      <c r="F60">
        <f>'附件4 规划外'!F217</f>
        <v>0</v>
      </c>
      <c r="G60">
        <f>'附件4 规划外'!G217</f>
        <v>240</v>
      </c>
      <c r="H60">
        <f>'附件4 规划外'!H217</f>
        <v>0</v>
      </c>
      <c r="I60" t="str">
        <f>'附件4 规划外'!I217</f>
        <v>完工</v>
      </c>
      <c r="J60">
        <f>'附件4 规划外'!J217</f>
        <v>240</v>
      </c>
      <c r="K60">
        <f>'附件4 规划外'!K217</f>
        <v>240</v>
      </c>
      <c r="L60" t="str">
        <f>'附件4 规划外'!L217</f>
        <v>1.基础墙面、地面已经进行完毕，待后续维护和整修。
2.消防工程和空调已经安装完毕，待验收调试。
3.厨房装修和设备采购待进一步完善。</v>
      </c>
      <c r="M60" s="26">
        <f>'附件4 规划外'!M217</f>
        <v>44562</v>
      </c>
      <c r="N60" s="26">
        <f>'附件4 规划外'!N217</f>
        <v>44743</v>
      </c>
      <c r="O60" t="str">
        <f>'附件4 规划外'!O217</f>
        <v>市卫生健康委</v>
      </c>
      <c r="P60" t="str">
        <f>'附件4 规划外'!P217</f>
        <v>城乡一体化示范区</v>
      </c>
      <c r="Q60">
        <f>'附件4 规划外'!Q217</f>
        <v>0</v>
      </c>
      <c r="S60" s="19" t="s">
        <v>1146</v>
      </c>
      <c r="T60" s="20">
        <f>COUNT(A60:A61)</f>
        <v>1</v>
      </c>
      <c r="U60" s="24">
        <f>SUM(E60)</f>
        <v>240</v>
      </c>
      <c r="V60" s="24">
        <f>COUNTIF(I60:I61,"在建")+COUNTIF(I60:I61,"完工")</f>
        <v>1</v>
      </c>
      <c r="W60" s="24">
        <f>COUNTIF(I60:I61,"完工")</f>
        <v>1</v>
      </c>
      <c r="X60" s="20">
        <f>SUM(J60:J61)</f>
        <v>240</v>
      </c>
      <c r="Y60" s="25">
        <f>IF(U60=0,"-",ROUND(X60/U60,3))</f>
        <v>1</v>
      </c>
    </row>
    <row r="61" ht="27" spans="13:25">
      <c r="M61" s="26"/>
      <c r="N61" s="26"/>
      <c r="S61" s="19" t="s">
        <v>1148</v>
      </c>
      <c r="T61" s="20">
        <f>COUNTIF(G60:G61,"&gt;0")</f>
        <v>1</v>
      </c>
      <c r="U61" s="24">
        <f>U60*0.5</f>
        <v>120</v>
      </c>
      <c r="V61" s="24">
        <f>COUNTIFS(G60:G61,"&gt;0",I60:I61,"完工")+COUNTIFS(G60:G61,"&gt;0",I60:I61,"在建")</f>
        <v>1</v>
      </c>
      <c r="W61" s="24">
        <f>COUNTIFS(G60:G61,"&gt;0",I60:I61,"完工")</f>
        <v>1</v>
      </c>
      <c r="X61" s="20">
        <f>SUM(K60:K61)</f>
        <v>240</v>
      </c>
      <c r="Y61" s="25">
        <f>IF(U61=0,"-",ROUND(X61/U61,3))</f>
        <v>2</v>
      </c>
    </row>
    <row r="62" spans="13:14">
      <c r="M62" s="26"/>
      <c r="N62" s="26"/>
    </row>
    <row r="63" spans="1:25">
      <c r="A63" s="13" t="s">
        <v>1165</v>
      </c>
      <c r="B63" s="14"/>
      <c r="C63" s="14"/>
      <c r="D63" s="14"/>
      <c r="E63" s="14"/>
      <c r="F63" s="14"/>
      <c r="G63" s="14"/>
      <c r="H63" s="14"/>
      <c r="I63" s="14"/>
      <c r="J63" s="14"/>
      <c r="K63" s="14"/>
      <c r="L63" s="14"/>
      <c r="M63" s="14"/>
      <c r="N63" s="14"/>
      <c r="O63" s="14"/>
      <c r="P63" s="14"/>
      <c r="Q63" s="14"/>
      <c r="R63" s="14"/>
      <c r="S63" s="16" t="s">
        <v>1166</v>
      </c>
      <c r="T63" s="16"/>
      <c r="U63" s="16"/>
      <c r="V63" s="16"/>
      <c r="W63" s="16"/>
      <c r="X63" s="16"/>
      <c r="Y63" s="16"/>
    </row>
    <row r="64" ht="51" spans="1:25">
      <c r="A64" s="6" t="s">
        <v>0</v>
      </c>
      <c r="B64" s="6" t="s">
        <v>1</v>
      </c>
      <c r="C64" s="6" t="s">
        <v>2</v>
      </c>
      <c r="D64" s="6" t="s">
        <v>3</v>
      </c>
      <c r="E64" s="7" t="s">
        <v>4</v>
      </c>
      <c r="F64" s="15" t="s">
        <v>576</v>
      </c>
      <c r="G64" s="15" t="s">
        <v>577</v>
      </c>
      <c r="H64" s="15" t="s">
        <v>578</v>
      </c>
      <c r="I64" s="7" t="s">
        <v>8</v>
      </c>
      <c r="J64" s="7" t="s">
        <v>9</v>
      </c>
      <c r="K64" s="7" t="s">
        <v>10</v>
      </c>
      <c r="L64" s="7" t="s">
        <v>11</v>
      </c>
      <c r="M64" s="7" t="s">
        <v>12</v>
      </c>
      <c r="N64" s="7" t="s">
        <v>13</v>
      </c>
      <c r="O64" s="6" t="s">
        <v>581</v>
      </c>
      <c r="P64" s="6" t="s">
        <v>15</v>
      </c>
      <c r="Q64" s="6" t="s">
        <v>16</v>
      </c>
      <c r="R64" s="6" t="s">
        <v>17</v>
      </c>
      <c r="S64" s="19"/>
      <c r="T64" s="20" t="s">
        <v>1141</v>
      </c>
      <c r="U64" s="20" t="s">
        <v>1120</v>
      </c>
      <c r="V64" s="20" t="s">
        <v>1142</v>
      </c>
      <c r="W64" s="20" t="s">
        <v>1143</v>
      </c>
      <c r="X64" s="20" t="s">
        <v>1144</v>
      </c>
      <c r="Y64" s="23" t="s">
        <v>1151</v>
      </c>
    </row>
    <row r="65" spans="1:25">
      <c r="A65">
        <f>'附件4 规划外'!A225</f>
        <v>239</v>
      </c>
      <c r="B65" t="str">
        <f>'附件4 规划外'!B225</f>
        <v>兰考县高标准农田</v>
      </c>
      <c r="C65" t="str">
        <f>'附件4 规划外'!C225</f>
        <v>其他</v>
      </c>
      <c r="D65">
        <f>'附件4 规划外'!D225</f>
        <v>0</v>
      </c>
      <c r="E65">
        <f>'附件4 规划外'!E225</f>
        <v>8204</v>
      </c>
      <c r="F65">
        <f>'附件4 规划外'!F225</f>
        <v>0</v>
      </c>
      <c r="G65">
        <f>'附件4 规划外'!G225</f>
        <v>3500</v>
      </c>
      <c r="H65">
        <f>'附件4 规划外'!H225</f>
        <v>0</v>
      </c>
      <c r="I65" t="str">
        <f>'附件4 规划外'!I225</f>
        <v>在建</v>
      </c>
      <c r="J65">
        <f>'附件4 规划外'!J225</f>
        <v>5994</v>
      </c>
      <c r="K65">
        <f>'附件4 规划外'!K225</f>
        <v>5994</v>
      </c>
      <c r="L65">
        <f>'附件4 规划外'!L225</f>
        <v>0</v>
      </c>
      <c r="M65" s="26">
        <f>'附件4 规划外'!M225</f>
        <v>44712</v>
      </c>
      <c r="N65" s="26">
        <f>'附件4 规划外'!N225</f>
        <v>45291</v>
      </c>
      <c r="O65" t="str">
        <f>'附件4 规划外'!O225</f>
        <v>市农业农村局</v>
      </c>
      <c r="P65" t="str">
        <f>'附件4 规划外'!P225</f>
        <v>兰考县</v>
      </c>
      <c r="Q65">
        <f>'附件4 规划外'!Q225</f>
        <v>0</v>
      </c>
      <c r="S65" s="19" t="s">
        <v>1146</v>
      </c>
      <c r="T65" s="20">
        <f>COUNT(A65:A66)</f>
        <v>1</v>
      </c>
      <c r="U65" s="24">
        <f>SUM(E65)</f>
        <v>8204</v>
      </c>
      <c r="V65" s="24">
        <f>COUNTIF(I65:I66,"在建")+COUNTIF(I65:I66,"完工")</f>
        <v>1</v>
      </c>
      <c r="W65" s="24">
        <f>COUNTIF(I65:I66,"完工")</f>
        <v>0</v>
      </c>
      <c r="X65" s="20">
        <f>SUM(J65:J66)</f>
        <v>5994</v>
      </c>
      <c r="Y65" s="25">
        <f>IF(U65=0,"-",ROUND(X65/U65,3))</f>
        <v>0.731</v>
      </c>
    </row>
    <row r="66" ht="27" spans="19:25">
      <c r="S66" s="19" t="s">
        <v>1148</v>
      </c>
      <c r="T66" s="20">
        <f>COUNTIF(G65:G66,"&gt;0")</f>
        <v>1</v>
      </c>
      <c r="U66" s="24">
        <v>3500</v>
      </c>
      <c r="V66" s="24">
        <f>COUNTIFS(G65:G66,"&gt;0",I65:I66,"完工")+COUNTIFS(G65:G66,"&gt;0",I65:I66,"在建")</f>
        <v>1</v>
      </c>
      <c r="W66" s="24">
        <f>COUNTIFS(G65:G66,"&gt;0",I65:I66,"完工")</f>
        <v>0</v>
      </c>
      <c r="X66" s="20">
        <f>SUM(K65:K66)</f>
        <v>5994</v>
      </c>
      <c r="Y66" s="25">
        <f>IF(U66=0,"-",ROUND(X66/U66,3))</f>
        <v>1.713</v>
      </c>
    </row>
    <row r="67" ht="14" customHeight="1"/>
    <row r="68" spans="1:25">
      <c r="A68" s="13" t="s">
        <v>1167</v>
      </c>
      <c r="B68" s="14"/>
      <c r="C68" s="14"/>
      <c r="D68" s="14"/>
      <c r="E68" s="14"/>
      <c r="F68" s="14"/>
      <c r="G68" s="14"/>
      <c r="H68" s="14"/>
      <c r="I68" s="14"/>
      <c r="J68" s="14"/>
      <c r="K68" s="14"/>
      <c r="L68" s="14"/>
      <c r="M68" s="14"/>
      <c r="N68" s="14"/>
      <c r="O68" s="14"/>
      <c r="P68" s="14"/>
      <c r="Q68" s="14"/>
      <c r="R68" s="14"/>
      <c r="S68" s="89" t="s">
        <v>1168</v>
      </c>
      <c r="T68" s="89"/>
      <c r="U68" s="89"/>
      <c r="V68" s="89"/>
      <c r="W68" s="89"/>
      <c r="X68" s="89"/>
      <c r="Y68" s="89"/>
    </row>
    <row r="69" ht="51" spans="1:25">
      <c r="A69" s="6" t="s">
        <v>0</v>
      </c>
      <c r="B69" s="6" t="s">
        <v>1</v>
      </c>
      <c r="C69" s="6" t="s">
        <v>2</v>
      </c>
      <c r="D69" s="6" t="s">
        <v>3</v>
      </c>
      <c r="E69" s="7" t="s">
        <v>4</v>
      </c>
      <c r="F69" s="15" t="s">
        <v>576</v>
      </c>
      <c r="G69" s="15" t="s">
        <v>577</v>
      </c>
      <c r="H69" s="15" t="s">
        <v>578</v>
      </c>
      <c r="I69" s="7" t="s">
        <v>8</v>
      </c>
      <c r="J69" s="7" t="s">
        <v>9</v>
      </c>
      <c r="K69" s="7" t="s">
        <v>10</v>
      </c>
      <c r="L69" s="7" t="s">
        <v>11</v>
      </c>
      <c r="M69" s="7" t="s">
        <v>12</v>
      </c>
      <c r="N69" s="7" t="s">
        <v>13</v>
      </c>
      <c r="O69" s="6" t="s">
        <v>581</v>
      </c>
      <c r="P69" s="6" t="s">
        <v>15</v>
      </c>
      <c r="Q69" s="6" t="s">
        <v>16</v>
      </c>
      <c r="R69" s="6" t="s">
        <v>17</v>
      </c>
      <c r="S69" s="90"/>
      <c r="T69" s="91" t="s">
        <v>1141</v>
      </c>
      <c r="U69" s="91" t="s">
        <v>1120</v>
      </c>
      <c r="V69" s="91" t="s">
        <v>1142</v>
      </c>
      <c r="W69" s="91" t="s">
        <v>1143</v>
      </c>
      <c r="X69" s="91" t="s">
        <v>1144</v>
      </c>
      <c r="Y69" s="98" t="s">
        <v>1151</v>
      </c>
    </row>
    <row r="70" spans="1:25">
      <c r="A70">
        <f>'附件4 规划外'!A226</f>
        <v>240</v>
      </c>
      <c r="B70" t="str">
        <f>'附件4 规划外'!B226</f>
        <v>尉氏县闹张线路面大修工程（新增）</v>
      </c>
      <c r="C70" t="str">
        <f>'附件4 规划外'!C226</f>
        <v>其他</v>
      </c>
      <c r="D70" t="str">
        <f>'附件4 规划外'!D226</f>
        <v>施工总里程10.0公里，路面宽9.0米，二级公路，沥青混凝土路面。</v>
      </c>
      <c r="E70">
        <f>'附件4 规划外'!E226</f>
        <v>1941.8</v>
      </c>
      <c r="F70">
        <f>'附件4 规划外'!F226</f>
        <v>0</v>
      </c>
      <c r="G70">
        <f>'附件4 规划外'!G226</f>
        <v>1941.8</v>
      </c>
      <c r="H70">
        <f>'附件4 规划外'!H226</f>
        <v>0</v>
      </c>
      <c r="I70" t="str">
        <f>'附件4 规划外'!I226</f>
        <v>在建</v>
      </c>
      <c r="J70">
        <f>'附件4 规划外'!J226</f>
        <v>1690</v>
      </c>
      <c r="K70">
        <f>'附件4 规划外'!K226</f>
        <v>1420</v>
      </c>
      <c r="L70" t="str">
        <f>'附件4 规划外'!L226</f>
        <v>在建</v>
      </c>
      <c r="M70" s="26">
        <f>'附件4 规划外'!M226</f>
        <v>44713</v>
      </c>
      <c r="N70" s="26">
        <f>'附件4 规划外'!N226</f>
        <v>44805</v>
      </c>
      <c r="O70" t="str">
        <f>'附件4 规划外'!O226</f>
        <v>市交通运输局</v>
      </c>
      <c r="P70" t="str">
        <f>'附件4 规划外'!P226</f>
        <v>尉氏县</v>
      </c>
      <c r="Q70">
        <f>'附件4 规划外'!Q226</f>
        <v>0</v>
      </c>
      <c r="S70" s="90" t="s">
        <v>1146</v>
      </c>
      <c r="T70" s="91">
        <f>COUNT(A70:A71)</f>
        <v>1</v>
      </c>
      <c r="U70" s="101">
        <f>SUM(E70)</f>
        <v>1941.8</v>
      </c>
      <c r="V70" s="101">
        <f>COUNTIF(I70:I71,"在建")+COUNTIF(I70:I71,"完工")</f>
        <v>1</v>
      </c>
      <c r="W70" s="101">
        <f>COUNTIF(I70:I71,"完工")</f>
        <v>0</v>
      </c>
      <c r="X70" s="91">
        <f>SUM(J70:J71)</f>
        <v>1690</v>
      </c>
      <c r="Y70" s="99">
        <f>IF(U70=0,"-",ROUND(X70/U70,3))</f>
        <v>0.87</v>
      </c>
    </row>
    <row r="71" ht="27" spans="19:25">
      <c r="S71" s="90" t="s">
        <v>1148</v>
      </c>
      <c r="T71" s="91">
        <f>COUNTIF(G70:G71,"&gt;0")</f>
        <v>1</v>
      </c>
      <c r="U71" s="101">
        <f>SUM(G70)</f>
        <v>1941.8</v>
      </c>
      <c r="V71" s="101">
        <f>COUNTIFS(G70:G71,"&gt;0",I70:I71,"完工")+COUNTIFS(G70:G71,"&gt;0",I70:I71,"在建")</f>
        <v>1</v>
      </c>
      <c r="W71" s="101">
        <f>COUNTIFS(G70:G71,"&gt;0",I70:I71,"完工")</f>
        <v>0</v>
      </c>
      <c r="X71" s="91">
        <f>SUM(K70:K71)</f>
        <v>1420</v>
      </c>
      <c r="Y71" s="99">
        <f>IF(U71=0,"-",ROUND(X71/U71,3))</f>
        <v>0.731</v>
      </c>
    </row>
  </sheetData>
  <mergeCells count="23">
    <mergeCell ref="A1:G1"/>
    <mergeCell ref="H1:N1"/>
    <mergeCell ref="O1:U1"/>
    <mergeCell ref="V1:AB1"/>
    <mergeCell ref="A5:R5"/>
    <mergeCell ref="S5:Y5"/>
    <mergeCell ref="S17:Y17"/>
    <mergeCell ref="A28:R28"/>
    <mergeCell ref="S28:Y28"/>
    <mergeCell ref="A36:R36"/>
    <mergeCell ref="S36:Y36"/>
    <mergeCell ref="A42:R42"/>
    <mergeCell ref="S42:Y42"/>
    <mergeCell ref="A47:R47"/>
    <mergeCell ref="S47:Y47"/>
    <mergeCell ref="A52:R52"/>
    <mergeCell ref="S52:Y52"/>
    <mergeCell ref="A58:R58"/>
    <mergeCell ref="S58:Y58"/>
    <mergeCell ref="A63:R63"/>
    <mergeCell ref="S63:Y63"/>
    <mergeCell ref="A68:R68"/>
    <mergeCell ref="S68:Y68"/>
  </mergeCells>
  <pageMargins left="0.7" right="0.7" top="0.75" bottom="0.75" header="0.3" footer="0.3"/>
  <pageSetup paperSize="9" orientation="portrait"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71"/>
  <sheetViews>
    <sheetView zoomScale="90" zoomScaleNormal="90" topLeftCell="C31" workbookViewId="0">
      <selection activeCell="V49" sqref="V49"/>
    </sheetView>
  </sheetViews>
  <sheetFormatPr defaultColWidth="9" defaultRowHeight="13.5"/>
  <sheetData>
    <row r="1" spans="1:28">
      <c r="A1" s="2" t="s">
        <v>1137</v>
      </c>
      <c r="B1" s="3"/>
      <c r="C1" s="3"/>
      <c r="D1" s="3"/>
      <c r="E1" s="3"/>
      <c r="F1" s="3"/>
      <c r="G1" s="4"/>
      <c r="H1" s="5" t="s">
        <v>1138</v>
      </c>
      <c r="I1" s="5"/>
      <c r="J1" s="5"/>
      <c r="K1" s="5"/>
      <c r="L1" s="5"/>
      <c r="M1" s="5"/>
      <c r="N1" s="5"/>
      <c r="O1" s="16" t="s">
        <v>1169</v>
      </c>
      <c r="P1" s="16"/>
      <c r="Q1" s="16"/>
      <c r="R1" s="16"/>
      <c r="S1" s="16"/>
      <c r="T1" s="16"/>
      <c r="U1" s="16"/>
      <c r="V1" s="89" t="s">
        <v>1140</v>
      </c>
      <c r="W1" s="89"/>
      <c r="X1" s="89"/>
      <c r="Y1" s="89"/>
      <c r="Z1" s="89"/>
      <c r="AA1" s="89"/>
      <c r="AB1" s="89"/>
    </row>
    <row r="2" ht="27" spans="1:28">
      <c r="A2" s="6"/>
      <c r="B2" s="7" t="s">
        <v>1141</v>
      </c>
      <c r="C2" s="7" t="s">
        <v>1120</v>
      </c>
      <c r="D2" s="7" t="s">
        <v>1142</v>
      </c>
      <c r="E2" s="7" t="s">
        <v>1143</v>
      </c>
      <c r="F2" s="7" t="s">
        <v>1144</v>
      </c>
      <c r="G2" s="7" t="s">
        <v>1145</v>
      </c>
      <c r="H2" s="8"/>
      <c r="I2" s="17" t="s">
        <v>1141</v>
      </c>
      <c r="J2" s="17" t="s">
        <v>1120</v>
      </c>
      <c r="K2" s="17" t="s">
        <v>1142</v>
      </c>
      <c r="L2" s="17" t="s">
        <v>1143</v>
      </c>
      <c r="M2" s="17" t="s">
        <v>1144</v>
      </c>
      <c r="N2" s="18" t="s">
        <v>1145</v>
      </c>
      <c r="O2" s="19"/>
      <c r="P2" s="20" t="s">
        <v>1141</v>
      </c>
      <c r="Q2" s="20" t="s">
        <v>1120</v>
      </c>
      <c r="R2" s="20" t="s">
        <v>1142</v>
      </c>
      <c r="S2" s="20" t="s">
        <v>1143</v>
      </c>
      <c r="T2" s="20" t="s">
        <v>1144</v>
      </c>
      <c r="U2" s="23" t="s">
        <v>1145</v>
      </c>
      <c r="V2" s="90"/>
      <c r="W2" s="91" t="s">
        <v>1141</v>
      </c>
      <c r="X2" s="91" t="s">
        <v>1120</v>
      </c>
      <c r="Y2" s="91" t="s">
        <v>1142</v>
      </c>
      <c r="Z2" s="91" t="s">
        <v>1143</v>
      </c>
      <c r="AA2" s="91" t="s">
        <v>1144</v>
      </c>
      <c r="AB2" s="98" t="s">
        <v>1145</v>
      </c>
    </row>
    <row r="3" spans="1:28">
      <c r="A3" s="9" t="s">
        <v>1146</v>
      </c>
      <c r="B3" s="10">
        <f>I3+P3+W3</f>
        <v>31</v>
      </c>
      <c r="C3" s="10" t="e">
        <f t="shared" ref="C3:F3" si="0">J3+Q3+X3</f>
        <v>#REF!</v>
      </c>
      <c r="D3" s="10">
        <f t="shared" si="0"/>
        <v>31</v>
      </c>
      <c r="E3" s="10">
        <f t="shared" si="0"/>
        <v>13</v>
      </c>
      <c r="F3" s="10" t="e">
        <f t="shared" si="0"/>
        <v>#REF!</v>
      </c>
      <c r="G3" s="11" t="e">
        <f>IF(C3=0,"-",ROUND(F3/C3,3))</f>
        <v>#REF!</v>
      </c>
      <c r="H3" s="8" t="s">
        <v>1146</v>
      </c>
      <c r="I3" s="17">
        <f>COUNT(E77:E150)</f>
        <v>0</v>
      </c>
      <c r="J3" s="21">
        <f>SUM(E77:E150)</f>
        <v>0</v>
      </c>
      <c r="K3" s="21">
        <f>COUNTIF(I77:I150,"在建")+COUNTIF(I77:I150,"完工")</f>
        <v>0</v>
      </c>
      <c r="L3" s="21">
        <f>COUNTIF(I77:I150,"完工")</f>
        <v>0</v>
      </c>
      <c r="M3" s="17">
        <f>SUM(J77:J133)</f>
        <v>0</v>
      </c>
      <c r="N3" s="22" t="str">
        <f>IF(J3=0,"-",ROUND(M3/J3,3))</f>
        <v>-</v>
      </c>
      <c r="O3" s="19" t="s">
        <v>1146</v>
      </c>
      <c r="P3" s="20">
        <f>T7+T30+T38+T44+T49+T54+T60+T65</f>
        <v>30</v>
      </c>
      <c r="Q3" s="20" t="e">
        <f t="shared" ref="Q3:T4" si="1">U7+U30+U38+U44+U49+U54+U60+U65</f>
        <v>#REF!</v>
      </c>
      <c r="R3" s="20">
        <f t="shared" si="1"/>
        <v>30</v>
      </c>
      <c r="S3" s="20">
        <f t="shared" si="1"/>
        <v>13</v>
      </c>
      <c r="T3" s="20" t="e">
        <f t="shared" si="1"/>
        <v>#REF!</v>
      </c>
      <c r="U3" s="20" t="e">
        <f>IF(Q3=0,"-",ROUND(T3/Q3,3))</f>
        <v>#REF!</v>
      </c>
      <c r="V3" s="90" t="s">
        <v>1146</v>
      </c>
      <c r="W3" s="91">
        <f>T70</f>
        <v>1</v>
      </c>
      <c r="X3" s="91">
        <f t="shared" ref="X3:AA4" si="2">U70</f>
        <v>1941.8</v>
      </c>
      <c r="Y3" s="91">
        <f t="shared" si="2"/>
        <v>1</v>
      </c>
      <c r="Z3" s="91">
        <f t="shared" si="2"/>
        <v>0</v>
      </c>
      <c r="AA3" s="91">
        <f t="shared" si="2"/>
        <v>1690</v>
      </c>
      <c r="AB3" s="91">
        <f>IF(X3=0,"-",ROUND(AA3/X3,3))</f>
        <v>0.87</v>
      </c>
    </row>
    <row r="4" ht="27" spans="1:28">
      <c r="A4" s="9" t="s">
        <v>1147</v>
      </c>
      <c r="B4" s="10">
        <f>I4+P4+W4</f>
        <v>31</v>
      </c>
      <c r="C4" s="10" t="e">
        <f t="shared" ref="C4" si="3">J4+Q4+X4</f>
        <v>#REF!</v>
      </c>
      <c r="D4" s="10">
        <f t="shared" ref="D4" si="4">K4+R4+Y4</f>
        <v>31</v>
      </c>
      <c r="E4" s="10">
        <f t="shared" ref="E4" si="5">L4+S4+Z4</f>
        <v>13</v>
      </c>
      <c r="F4" s="10" t="e">
        <f t="shared" ref="F4" si="6">M4+T4+AA4</f>
        <v>#REF!</v>
      </c>
      <c r="G4" s="12" t="e">
        <f>IF(C4=0,"-",ROUND(F4/C4,3))</f>
        <v>#REF!</v>
      </c>
      <c r="H4" s="8" t="s">
        <v>1148</v>
      </c>
      <c r="I4" s="17">
        <f>COUNTIF(G77:G150,"&gt;0")</f>
        <v>0</v>
      </c>
      <c r="J4" s="21">
        <f>SUM(G77:G150)</f>
        <v>0</v>
      </c>
      <c r="K4" s="21">
        <f>COUNTIFS(G77:G150,"&gt;0",I77:I150,"完工")+COUNTIFS(G77:G150,"&gt;0",I77:I150,"在建")</f>
        <v>0</v>
      </c>
      <c r="L4" s="21">
        <f>COUNTIFS(G77:G150,"&gt;0",I77:I150,"完工")</f>
        <v>0</v>
      </c>
      <c r="M4" s="17">
        <f>SUM(K77:K150)</f>
        <v>0</v>
      </c>
      <c r="N4" s="22" t="str">
        <f>IF(J4=0,"-",ROUND(M4/J4,3))</f>
        <v>-</v>
      </c>
      <c r="O4" s="19" t="s">
        <v>1148</v>
      </c>
      <c r="P4" s="20">
        <f>T8+T31+T39+T45+T50+T55+T61+T66</f>
        <v>30</v>
      </c>
      <c r="Q4" s="20" t="e">
        <f>U8+U31+U39+U45+U50+U55+U61+U66</f>
        <v>#REF!</v>
      </c>
      <c r="R4" s="20">
        <f t="shared" si="1"/>
        <v>30</v>
      </c>
      <c r="S4" s="20">
        <f t="shared" si="1"/>
        <v>13</v>
      </c>
      <c r="T4" s="20" t="e">
        <f t="shared" si="1"/>
        <v>#REF!</v>
      </c>
      <c r="U4" s="25" t="e">
        <f>IF(Q4=0,"-",ROUND(T4/Q4,3))</f>
        <v>#REF!</v>
      </c>
      <c r="V4" s="90" t="s">
        <v>1148</v>
      </c>
      <c r="W4" s="91">
        <f>T71</f>
        <v>1</v>
      </c>
      <c r="X4" s="91">
        <f t="shared" si="2"/>
        <v>1941.8</v>
      </c>
      <c r="Y4" s="91">
        <f t="shared" si="2"/>
        <v>1</v>
      </c>
      <c r="Z4" s="91">
        <f t="shared" si="2"/>
        <v>0</v>
      </c>
      <c r="AA4" s="91">
        <f t="shared" si="2"/>
        <v>1420</v>
      </c>
      <c r="AB4" s="99">
        <f>IF(X4=0,"-",ROUND(AA4/X4,3))</f>
        <v>0.731</v>
      </c>
    </row>
    <row r="5" spans="1:25">
      <c r="A5" s="13" t="s">
        <v>1149</v>
      </c>
      <c r="B5" s="14"/>
      <c r="C5" s="14"/>
      <c r="D5" s="14"/>
      <c r="E5" s="14"/>
      <c r="F5" s="14"/>
      <c r="G5" s="14"/>
      <c r="H5" s="14"/>
      <c r="I5" s="14"/>
      <c r="J5" s="14"/>
      <c r="K5" s="14"/>
      <c r="L5" s="14"/>
      <c r="M5" s="14"/>
      <c r="N5" s="14"/>
      <c r="O5" s="14"/>
      <c r="P5" s="14"/>
      <c r="Q5" s="14"/>
      <c r="R5" s="14"/>
      <c r="S5" s="16" t="s">
        <v>1150</v>
      </c>
      <c r="T5" s="16"/>
      <c r="U5" s="16"/>
      <c r="V5" s="16"/>
      <c r="W5" s="16"/>
      <c r="X5" s="16"/>
      <c r="Y5" s="16"/>
    </row>
    <row r="6" ht="51" spans="1:25">
      <c r="A6" s="6" t="s">
        <v>0</v>
      </c>
      <c r="B6" s="6" t="s">
        <v>1</v>
      </c>
      <c r="C6" s="6" t="s">
        <v>2</v>
      </c>
      <c r="D6" s="6" t="s">
        <v>3</v>
      </c>
      <c r="E6" s="7" t="s">
        <v>4</v>
      </c>
      <c r="F6" s="15" t="s">
        <v>576</v>
      </c>
      <c r="G6" s="15" t="s">
        <v>577</v>
      </c>
      <c r="H6" s="15" t="s">
        <v>578</v>
      </c>
      <c r="I6" s="7" t="s">
        <v>8</v>
      </c>
      <c r="J6" s="7" t="s">
        <v>9</v>
      </c>
      <c r="K6" s="7" t="s">
        <v>10</v>
      </c>
      <c r="L6" s="7" t="s">
        <v>11</v>
      </c>
      <c r="M6" s="7" t="s">
        <v>12</v>
      </c>
      <c r="N6" s="7" t="s">
        <v>13</v>
      </c>
      <c r="O6" s="6" t="s">
        <v>581</v>
      </c>
      <c r="P6" s="6" t="s">
        <v>15</v>
      </c>
      <c r="Q6" s="6" t="s">
        <v>16</v>
      </c>
      <c r="R6" s="6" t="s">
        <v>17</v>
      </c>
      <c r="S6" s="19"/>
      <c r="T6" s="20" t="s">
        <v>1141</v>
      </c>
      <c r="U6" s="20" t="s">
        <v>1120</v>
      </c>
      <c r="V6" s="20" t="s">
        <v>1142</v>
      </c>
      <c r="W6" s="20" t="s">
        <v>1143</v>
      </c>
      <c r="X6" s="20" t="s">
        <v>1144</v>
      </c>
      <c r="Y6" s="23" t="s">
        <v>1151</v>
      </c>
    </row>
    <row r="7" spans="1:25">
      <c r="A7">
        <f>'附件4 规划外'!A196</f>
        <v>209</v>
      </c>
      <c r="B7" t="str">
        <f>'附件4 规划外'!B196</f>
        <v>开封市黑岗口引黄灌区续建配态与节水改造项目</v>
      </c>
      <c r="C7" t="str">
        <f>'附件4 规划外'!C196</f>
        <v>其他</v>
      </c>
      <c r="D7" t="str">
        <f>'附件4 规划外'!D196</f>
        <v>渠道衬砌4条15.319km，沟渠清淤疏浚4条16.467km，配套建筑物81座，配套量测水设施22套。</v>
      </c>
      <c r="E7">
        <f>'附件4 规划外'!E196</f>
        <v>5897</v>
      </c>
      <c r="F7">
        <f>'附件4 规划外'!F196</f>
        <v>0</v>
      </c>
      <c r="G7">
        <f>'附件4 规划外'!G196</f>
        <v>4718</v>
      </c>
      <c r="H7">
        <f>'附件4 规划外'!H196</f>
        <v>0</v>
      </c>
      <c r="I7" t="str">
        <f>'附件4 规划外'!I196</f>
        <v>在建</v>
      </c>
      <c r="J7">
        <f>'附件4 规划外'!J196</f>
        <v>5000</v>
      </c>
      <c r="K7">
        <f>'附件4 规划外'!K196</f>
        <v>5000</v>
      </c>
      <c r="L7">
        <f>'附件4 规划外'!L196</f>
        <v>0</v>
      </c>
      <c r="M7">
        <f>'附件4 规划外'!M196</f>
        <v>44652</v>
      </c>
      <c r="N7">
        <f>'附件4 规划外'!N196</f>
        <v>44896</v>
      </c>
      <c r="O7" t="str">
        <f>'附件4 规划外'!O196</f>
        <v>市水利局</v>
      </c>
      <c r="P7" t="str">
        <f>'附件4 规划外'!P196</f>
        <v>市本级</v>
      </c>
      <c r="Q7">
        <f>'附件4 规划外'!Q196</f>
        <v>0</v>
      </c>
      <c r="S7" s="19" t="s">
        <v>1146</v>
      </c>
      <c r="T7" s="20">
        <f>COUNT(A7:A25)</f>
        <v>19</v>
      </c>
      <c r="U7" s="24">
        <f>SUM(E7:E25)</f>
        <v>17438.48</v>
      </c>
      <c r="V7" s="24">
        <f>COUNTIF(I7:I25,"在建")+COUNTIF(I7:I25,"完工")</f>
        <v>19</v>
      </c>
      <c r="W7" s="24">
        <f>COUNTIF(I7:I25,"完工")</f>
        <v>12</v>
      </c>
      <c r="X7" s="20">
        <f>SUM(J7:J25)</f>
        <v>15371</v>
      </c>
      <c r="Y7" s="25">
        <f>IF(U7=0,"-",ROUND(X7/U7,3))</f>
        <v>0.881</v>
      </c>
    </row>
    <row r="8" ht="27" spans="1:25">
      <c r="A8">
        <f>'附件4 规划外'!A197</f>
        <v>210</v>
      </c>
      <c r="B8" t="str">
        <f>'附件4 规划外'!B197</f>
        <v>2022年兰考县中型灌区续建配套与节水改造项目</v>
      </c>
      <c r="C8" t="str">
        <f>'附件4 规划外'!C197</f>
        <v>其他</v>
      </c>
      <c r="D8" t="str">
        <f>'附件4 规划外'!D197</f>
        <v>北滩灌区2022年度工程涉及渠道衬砌3条共20.16千米，量测水设施6处，建设管理道路18公里。</v>
      </c>
      <c r="E8">
        <f>'附件4 规划外'!E197</f>
        <v>3257</v>
      </c>
      <c r="F8">
        <f>'附件4 规划外'!F197</f>
        <v>0</v>
      </c>
      <c r="G8">
        <f>'附件4 规划外'!G197</f>
        <v>2606</v>
      </c>
      <c r="H8">
        <f>'附件4 规划外'!H197</f>
        <v>0</v>
      </c>
      <c r="I8" t="str">
        <f>'附件4 规划外'!I197</f>
        <v>在建</v>
      </c>
      <c r="J8">
        <f>'附件4 规划外'!J197</f>
        <v>3490</v>
      </c>
      <c r="K8">
        <f>'附件4 规划外'!K197</f>
        <v>3490</v>
      </c>
      <c r="L8">
        <f>'附件4 规划外'!L197</f>
        <v>0</v>
      </c>
      <c r="M8">
        <f>'附件4 规划外'!M197</f>
        <v>44652</v>
      </c>
      <c r="N8">
        <f>'附件4 规划外'!N197</f>
        <v>44896</v>
      </c>
      <c r="O8" t="str">
        <f>'附件4 规划外'!O197</f>
        <v>市水利局</v>
      </c>
      <c r="P8" t="str">
        <f>'附件4 规划外'!P197</f>
        <v>兰考县</v>
      </c>
      <c r="Q8">
        <f>'附件4 规划外'!Q197</f>
        <v>0</v>
      </c>
      <c r="S8" s="19" t="s">
        <v>1148</v>
      </c>
      <c r="T8" s="20">
        <f>COUNTIF(G7:G25,"&gt;0")</f>
        <v>19</v>
      </c>
      <c r="U8" s="24">
        <f>SUM(G7:G25)</f>
        <v>14388</v>
      </c>
      <c r="V8" s="24">
        <f>COUNTIFS(G7:G25,"&gt;0",I7:I25,"完工")+COUNTIFS(G7:G25,"&gt;0",I7:I25,"在建")</f>
        <v>19</v>
      </c>
      <c r="W8" s="24">
        <f>COUNTIFS(G7:G25,"&gt;0",I7:I25,"完工")</f>
        <v>12</v>
      </c>
      <c r="X8" s="20">
        <f>SUM(K7:K25)</f>
        <v>15371</v>
      </c>
      <c r="Y8" s="25">
        <f>IF(U8=0,"-",ROUND(X8/U8,3))</f>
        <v>1.068</v>
      </c>
    </row>
    <row r="9" spans="1:17">
      <c r="A9">
        <f>'附件4 规划外'!A198</f>
        <v>211</v>
      </c>
      <c r="B9" t="str">
        <f>'附件4 规划外'!B198</f>
        <v>祥符区铁底河(北支段)治理工</v>
      </c>
      <c r="C9" t="str">
        <f>'附件4 规划外'!C198</f>
        <v>其他</v>
      </c>
      <c r="D9" t="str">
        <f>'附件4 规划外'!D198</f>
        <v>河道清淤13.2公里，拆除重建建筑物17座</v>
      </c>
      <c r="E9">
        <f>'附件4 规划外'!E198</f>
        <v>923</v>
      </c>
      <c r="F9">
        <f>'附件4 规划外'!F198</f>
        <v>0</v>
      </c>
      <c r="G9">
        <f>'附件4 规划外'!G198</f>
        <v>738</v>
      </c>
      <c r="H9">
        <f>'附件4 规划外'!H198</f>
        <v>0</v>
      </c>
      <c r="I9" t="str">
        <f>'附件4 规划外'!I198</f>
        <v>在建</v>
      </c>
      <c r="J9">
        <f>'附件4 规划外'!J198</f>
        <v>680</v>
      </c>
      <c r="K9">
        <f>'附件4 规划外'!K198</f>
        <v>680</v>
      </c>
      <c r="L9">
        <f>'附件4 规划外'!L198</f>
        <v>0</v>
      </c>
      <c r="M9">
        <f>'附件4 规划外'!M198</f>
        <v>44652</v>
      </c>
      <c r="N9">
        <f>'附件4 规划外'!N198</f>
        <v>45078</v>
      </c>
      <c r="O9" t="str">
        <f>'附件4 规划外'!O198</f>
        <v>市水利局</v>
      </c>
      <c r="P9" t="str">
        <f>'附件4 规划外'!P198</f>
        <v>祥符区</v>
      </c>
      <c r="Q9">
        <f>'附件4 规划外'!Q198</f>
        <v>0</v>
      </c>
    </row>
    <row r="10" spans="1:17">
      <c r="A10">
        <f>'附件4 规划外'!A199</f>
        <v>212</v>
      </c>
      <c r="B10" t="str">
        <f>'附件4 规划外'!B199</f>
        <v>杞县小蒋河(曹家至林庄段)治理工程</v>
      </c>
      <c r="C10" t="str">
        <f>'附件4 规划外'!C199</f>
        <v>其他</v>
      </c>
      <c r="D10" t="str">
        <f>'附件4 规划外'!D199</f>
        <v>河道清淤9.883公里，拆除重建桥梁16座</v>
      </c>
      <c r="E10">
        <f>'附件4 规划外'!E199</f>
        <v>936</v>
      </c>
      <c r="F10">
        <f>'附件4 规划外'!F199</f>
        <v>0</v>
      </c>
      <c r="G10">
        <f>'附件4 规划外'!G199</f>
        <v>749</v>
      </c>
      <c r="H10">
        <f>'附件4 规划外'!H199</f>
        <v>0</v>
      </c>
      <c r="I10" t="str">
        <f>'附件4 规划外'!I199</f>
        <v>在建</v>
      </c>
      <c r="J10">
        <f>'附件4 规划外'!J199</f>
        <v>880</v>
      </c>
      <c r="K10">
        <f>'附件4 规划外'!K199</f>
        <v>880</v>
      </c>
      <c r="L10">
        <f>'附件4 规划外'!L199</f>
        <v>0</v>
      </c>
      <c r="M10">
        <f>'附件4 规划外'!M199</f>
        <v>44682</v>
      </c>
      <c r="N10">
        <f>'附件4 规划外'!N199</f>
        <v>44896</v>
      </c>
      <c r="O10" t="str">
        <f>'附件4 规划外'!O199</f>
        <v>市水利局</v>
      </c>
      <c r="P10" t="str">
        <f>'附件4 规划外'!P199</f>
        <v>杞县</v>
      </c>
      <c r="Q10">
        <f>'附件4 规划外'!Q199</f>
        <v>0</v>
      </c>
    </row>
    <row r="11" spans="1:17">
      <c r="A11">
        <f>'附件4 规划外'!A200</f>
        <v>213</v>
      </c>
      <c r="B11" t="str">
        <f>'附件4 规划外'!B200</f>
        <v>通许县小清河治理工程(乔寨桥至开通县界)</v>
      </c>
      <c r="C11" t="str">
        <f>'附件4 规划外'!C200</f>
        <v>其他</v>
      </c>
      <c r="D11" t="str">
        <f>'附件4 规划外'!D200</f>
        <v>本次治理范围为桩号小清河开通县界（28+285）～乔寨桥（35+280），治理河段清表、两岸岸坡整修共6.995km，修筑右岸混凝土防汛路6.642km，重建跨河桥梁5座，重建沿河两岸灌排两用涵闸10座。</v>
      </c>
      <c r="E11">
        <f>'附件4 规划外'!E200</f>
        <v>1885.01</v>
      </c>
      <c r="F11">
        <f>'附件4 规划外'!F200</f>
        <v>0</v>
      </c>
      <c r="G11">
        <f>'附件4 规划外'!G200</f>
        <v>1508</v>
      </c>
      <c r="H11">
        <f>'附件4 规划外'!H200</f>
        <v>0</v>
      </c>
      <c r="I11" t="str">
        <f>'附件4 规划外'!I200</f>
        <v>在建</v>
      </c>
      <c r="J11">
        <f>'附件4 规划外'!J200</f>
        <v>1495</v>
      </c>
      <c r="K11">
        <f>'附件4 规划外'!K200</f>
        <v>1495</v>
      </c>
      <c r="L11">
        <f>'附件4 规划外'!L200</f>
        <v>0</v>
      </c>
      <c r="M11">
        <f>'附件4 规划外'!M200</f>
        <v>44652</v>
      </c>
      <c r="N11">
        <f>'附件4 规划外'!N200</f>
        <v>44896</v>
      </c>
      <c r="O11" t="str">
        <f>'附件4 规划外'!O200</f>
        <v>市水利局</v>
      </c>
      <c r="P11" t="str">
        <f>'附件4 规划外'!P200</f>
        <v>通许县</v>
      </c>
      <c r="Q11">
        <f>'附件4 规划外'!Q200</f>
        <v>0</v>
      </c>
    </row>
    <row r="12" spans="1:17">
      <c r="A12">
        <f>'附件4 规划外'!A201</f>
        <v>214</v>
      </c>
      <c r="B12" t="str">
        <f>'附件4 规划外'!B201</f>
        <v>通许县铁底河(陈嘉至木台庄段)治理工程</v>
      </c>
      <c r="C12" t="str">
        <f>'附件4 规划外'!C201</f>
        <v>其他</v>
      </c>
      <c r="D12" t="str">
        <f>'附件4 规划外'!D201</f>
        <v>河道清淤约 5.79km、堤防修筑 4.664km、重建拦河闸1座，新 建排涝涵闸10座，重建跨河桥梁1座等。</v>
      </c>
      <c r="E12">
        <f>'附件4 规划外'!E201</f>
        <v>2355.47</v>
      </c>
      <c r="F12">
        <f>'附件4 规划外'!F201</f>
        <v>0</v>
      </c>
      <c r="G12">
        <f>'附件4 规划外'!G201</f>
        <v>1884</v>
      </c>
      <c r="H12">
        <f>'附件4 规划外'!H201</f>
        <v>0</v>
      </c>
      <c r="I12" t="str">
        <f>'附件4 规划外'!I201</f>
        <v>在建</v>
      </c>
      <c r="J12">
        <f>'附件4 规划外'!J201</f>
        <v>1721</v>
      </c>
      <c r="K12">
        <f>'附件4 规划外'!K201</f>
        <v>1721</v>
      </c>
      <c r="L12">
        <f>'附件4 规划外'!L201</f>
        <v>0</v>
      </c>
      <c r="M12">
        <f>'附件4 规划外'!M201</f>
        <v>44652</v>
      </c>
      <c r="N12">
        <f>'附件4 规划外'!N201</f>
        <v>44896</v>
      </c>
      <c r="O12" t="str">
        <f>'附件4 规划外'!O201</f>
        <v>市水利局</v>
      </c>
      <c r="P12" t="str">
        <f>'附件4 规划外'!P201</f>
        <v>通许县</v>
      </c>
      <c r="Q12">
        <f>'附件4 规划外'!Q201</f>
        <v>0</v>
      </c>
    </row>
    <row r="13" spans="1:17">
      <c r="A13">
        <f>'附件4 规划外'!A202</f>
        <v>215</v>
      </c>
      <c r="B13" t="str">
        <f>'附件4 规划外'!B202</f>
        <v>尉氏县水土保持</v>
      </c>
      <c r="C13" t="str">
        <f>'附件4 规划外'!C202</f>
        <v>其他</v>
      </c>
      <c r="D13" t="str">
        <f>'附件4 规划外'!D202</f>
        <v>农田防护林1000hm²,生产道路2278m. 治理水土流失面积10平方公里。</v>
      </c>
      <c r="E13">
        <f>'附件4 规划外'!E202</f>
        <v>460</v>
      </c>
      <c r="F13">
        <f>'附件4 规划外'!F202</f>
        <v>0</v>
      </c>
      <c r="G13">
        <f>'附件4 规划外'!G202</f>
        <v>460</v>
      </c>
      <c r="H13">
        <f>'附件4 规划外'!H202</f>
        <v>0</v>
      </c>
      <c r="I13" t="str">
        <f>'附件4 规划外'!I202</f>
        <v>在建</v>
      </c>
      <c r="J13">
        <f>'附件4 规划外'!J202</f>
        <v>380</v>
      </c>
      <c r="K13">
        <f>'附件4 规划外'!K202</f>
        <v>380</v>
      </c>
      <c r="L13" t="str">
        <f>'附件4 规划外'!L202</f>
        <v>方案在编</v>
      </c>
      <c r="M13">
        <f>'附件4 规划外'!M202</f>
        <v>44682</v>
      </c>
      <c r="N13">
        <f>'附件4 规划外'!N202</f>
        <v>44896</v>
      </c>
      <c r="O13" t="str">
        <f>'附件4 规划外'!O202</f>
        <v>市水利局</v>
      </c>
      <c r="P13" t="str">
        <f>'附件4 规划外'!P202</f>
        <v>尉氏县</v>
      </c>
      <c r="Q13">
        <f>'附件4 规划外'!Q202</f>
        <v>0</v>
      </c>
    </row>
    <row r="14" spans="1:17">
      <c r="A14">
        <f>'附件4 规划外'!A203</f>
        <v>216</v>
      </c>
      <c r="B14" t="str">
        <f>'附件4 规划外'!B203</f>
        <v>祥符区水资源节约管理与保护</v>
      </c>
      <c r="C14" t="str">
        <f>'附件4 规划外'!C203</f>
        <v>其他</v>
      </c>
      <c r="D14" t="str">
        <f>'附件4 规划外'!D203</f>
        <v>规模以上取水在线计量设施新建或改建</v>
      </c>
      <c r="E14">
        <f>'附件4 规划外'!E203</f>
        <v>20</v>
      </c>
      <c r="F14">
        <f>'附件4 规划外'!F203</f>
        <v>0</v>
      </c>
      <c r="G14">
        <f>'附件4 规划外'!G203</f>
        <v>20</v>
      </c>
      <c r="H14">
        <f>'附件4 规划外'!H203</f>
        <v>0</v>
      </c>
      <c r="I14" t="str">
        <f>'附件4 规划外'!I203</f>
        <v>完工</v>
      </c>
      <c r="J14">
        <f>'附件4 规划外'!J203</f>
        <v>20</v>
      </c>
      <c r="K14">
        <f>'附件4 规划外'!K203</f>
        <v>20</v>
      </c>
      <c r="L14">
        <f>'附件4 规划外'!L203</f>
        <v>0</v>
      </c>
      <c r="M14">
        <f>'附件4 规划外'!M203</f>
        <v>44682</v>
      </c>
      <c r="N14">
        <f>'附件4 规划外'!N203</f>
        <v>44713</v>
      </c>
      <c r="O14" t="str">
        <f>'附件4 规划外'!O203</f>
        <v>市水利局</v>
      </c>
      <c r="P14" t="str">
        <f>'附件4 规划外'!P203</f>
        <v>祥符区</v>
      </c>
      <c r="Q14">
        <f>'附件4 规划外'!Q203</f>
        <v>0</v>
      </c>
    </row>
    <row r="15" spans="1:17">
      <c r="A15">
        <f>'附件4 规划外'!A204</f>
        <v>217</v>
      </c>
      <c r="B15" t="str">
        <f>'附件4 规划外'!B204</f>
        <v>杞县水资源节约管理与保护</v>
      </c>
      <c r="C15" t="str">
        <f>'附件4 规划外'!C204</f>
        <v>其他</v>
      </c>
      <c r="D15" t="str">
        <f>'附件4 规划外'!D204</f>
        <v>规模以上取水在线计量设施新建或改建</v>
      </c>
      <c r="E15">
        <f>'附件4 规划外'!E204</f>
        <v>28</v>
      </c>
      <c r="F15">
        <f>'附件4 规划外'!F204</f>
        <v>0</v>
      </c>
      <c r="G15">
        <f>'附件4 规划外'!G204</f>
        <v>28</v>
      </c>
      <c r="H15">
        <f>'附件4 规划外'!H204</f>
        <v>0</v>
      </c>
      <c r="I15" t="str">
        <f>'附件4 规划外'!I204</f>
        <v>完工</v>
      </c>
      <c r="J15">
        <f>'附件4 规划外'!J204</f>
        <v>28</v>
      </c>
      <c r="K15">
        <f>'附件4 规划外'!K204</f>
        <v>28</v>
      </c>
      <c r="L15">
        <f>'附件4 规划外'!L204</f>
        <v>0</v>
      </c>
      <c r="M15">
        <f>'附件4 规划外'!M204</f>
        <v>44682</v>
      </c>
      <c r="N15">
        <f>'附件4 规划外'!N204</f>
        <v>44713</v>
      </c>
      <c r="O15" t="str">
        <f>'附件4 规划外'!O204</f>
        <v>市水利局</v>
      </c>
      <c r="P15" t="str">
        <f>'附件4 规划外'!P204</f>
        <v>杞县</v>
      </c>
      <c r="Q15">
        <f>'附件4 规划外'!Q204</f>
        <v>0</v>
      </c>
    </row>
    <row r="16" spans="1:17">
      <c r="A16">
        <f>'附件4 规划外'!A205</f>
        <v>218</v>
      </c>
      <c r="B16" t="str">
        <f>'附件4 规划外'!B205</f>
        <v>通许县水资源节约管理与保护</v>
      </c>
      <c r="C16" t="str">
        <f>'附件4 规划外'!C205</f>
        <v>其他</v>
      </c>
      <c r="D16" t="str">
        <f>'附件4 规划外'!D205</f>
        <v>规模以上取水在线计量设施新建或改建</v>
      </c>
      <c r="E16">
        <f>'附件4 规划外'!E205</f>
        <v>26</v>
      </c>
      <c r="F16">
        <f>'附件4 规划外'!F205</f>
        <v>0</v>
      </c>
      <c r="G16">
        <f>'附件4 规划外'!G205</f>
        <v>26</v>
      </c>
      <c r="H16">
        <f>'附件4 规划外'!H205</f>
        <v>0</v>
      </c>
      <c r="I16" t="str">
        <f>'附件4 规划外'!I205</f>
        <v>完工</v>
      </c>
      <c r="J16">
        <f>'附件4 规划外'!J205</f>
        <v>26</v>
      </c>
      <c r="K16">
        <f>'附件4 规划外'!K205</f>
        <v>26</v>
      </c>
      <c r="L16">
        <f>'附件4 规划外'!L205</f>
        <v>0</v>
      </c>
      <c r="M16">
        <f>'附件4 规划外'!M205</f>
        <v>44682</v>
      </c>
      <c r="N16">
        <f>'附件4 规划外'!N205</f>
        <v>44713</v>
      </c>
      <c r="O16" t="str">
        <f>'附件4 规划外'!O205</f>
        <v>市水利局</v>
      </c>
      <c r="P16" t="str">
        <f>'附件4 规划外'!P205</f>
        <v>通许县</v>
      </c>
      <c r="Q16">
        <f>'附件4 规划外'!Q205</f>
        <v>0</v>
      </c>
    </row>
    <row r="17" spans="1:25">
      <c r="A17">
        <f>'附件4 规划外'!A206</f>
        <v>219</v>
      </c>
      <c r="B17" t="str">
        <f>'附件4 规划外'!B206</f>
        <v>尉氏县水资源节约管理与保护</v>
      </c>
      <c r="C17" t="str">
        <f>'附件4 规划外'!C206</f>
        <v>其他</v>
      </c>
      <c r="D17" t="str">
        <f>'附件4 规划外'!D206</f>
        <v>规模以上取水在线计量设施新建或改建</v>
      </c>
      <c r="E17">
        <f>'附件4 规划外'!E206</f>
        <v>25</v>
      </c>
      <c r="F17">
        <f>'附件4 规划外'!F206</f>
        <v>0</v>
      </c>
      <c r="G17">
        <f>'附件4 规划外'!G206</f>
        <v>25</v>
      </c>
      <c r="H17">
        <f>'附件4 规划外'!H206</f>
        <v>0</v>
      </c>
      <c r="I17" t="str">
        <f>'附件4 规划外'!I206</f>
        <v>完工</v>
      </c>
      <c r="J17">
        <f>'附件4 规划外'!J206</f>
        <v>25</v>
      </c>
      <c r="K17">
        <f>'附件4 规划外'!K206</f>
        <v>25</v>
      </c>
      <c r="L17" t="str">
        <f>'附件4 规划外'!L206</f>
        <v>已完成20%</v>
      </c>
      <c r="M17">
        <f>'附件4 规划外'!M206</f>
        <v>44682</v>
      </c>
      <c r="N17">
        <f>'附件4 规划外'!N206</f>
        <v>44713</v>
      </c>
      <c r="O17" t="str">
        <f>'附件4 规划外'!O206</f>
        <v>市水利局</v>
      </c>
      <c r="P17" t="str">
        <f>'附件4 规划外'!P206</f>
        <v>尉氏县</v>
      </c>
      <c r="Q17">
        <f>'附件4 规划外'!Q206</f>
        <v>0</v>
      </c>
      <c r="S17" s="92" t="s">
        <v>1152</v>
      </c>
      <c r="T17" s="93"/>
      <c r="U17" s="93"/>
      <c r="V17" s="93"/>
      <c r="W17" s="93"/>
      <c r="X17" s="93"/>
      <c r="Y17" s="93"/>
    </row>
    <row r="18" spans="1:25">
      <c r="A18">
        <f>'附件4 规划外'!A207</f>
        <v>220</v>
      </c>
      <c r="B18" t="str">
        <f>'附件4 规划外'!B207</f>
        <v>兰考县水资源节约管理与保护</v>
      </c>
      <c r="C18" t="str">
        <f>'附件4 规划外'!C207</f>
        <v>其他</v>
      </c>
      <c r="D18" t="str">
        <f>'附件4 规划外'!D207</f>
        <v>北滩灌区渠首安装监测计量设备</v>
      </c>
      <c r="E18">
        <f>'附件4 规划外'!E207</f>
        <v>8</v>
      </c>
      <c r="F18">
        <f>'附件4 规划外'!F207</f>
        <v>0</v>
      </c>
      <c r="G18">
        <f>'附件4 规划外'!G207</f>
        <v>8</v>
      </c>
      <c r="H18">
        <f>'附件4 规划外'!H207</f>
        <v>0</v>
      </c>
      <c r="I18" t="str">
        <f>'附件4 规划外'!I207</f>
        <v>完工</v>
      </c>
      <c r="J18">
        <f>'附件4 规划外'!J207</f>
        <v>8</v>
      </c>
      <c r="K18">
        <f>'附件4 规划外'!K207</f>
        <v>8</v>
      </c>
      <c r="L18">
        <f>'附件4 规划外'!L207</f>
        <v>0</v>
      </c>
      <c r="M18">
        <f>'附件4 规划外'!M207</f>
        <v>44682</v>
      </c>
      <c r="N18">
        <f>'附件4 规划外'!N207</f>
        <v>44713</v>
      </c>
      <c r="O18" t="str">
        <f>'附件4 规划外'!O207</f>
        <v>市水利局</v>
      </c>
      <c r="P18" t="str">
        <f>'附件4 规划外'!P207</f>
        <v>兰考县</v>
      </c>
      <c r="Q18">
        <f>'附件4 规划外'!Q207</f>
        <v>0</v>
      </c>
      <c r="T18" t="s">
        <v>1141</v>
      </c>
      <c r="U18" t="s">
        <v>1120</v>
      </c>
      <c r="V18" t="s">
        <v>1142</v>
      </c>
      <c r="W18" t="s">
        <v>1143</v>
      </c>
      <c r="X18" t="s">
        <v>1144</v>
      </c>
      <c r="Y18" t="s">
        <v>1151</v>
      </c>
    </row>
    <row r="19" spans="1:25">
      <c r="A19">
        <f>'附件4 规划外'!A208</f>
        <v>221</v>
      </c>
      <c r="B19" t="str">
        <f>'附件4 规划外'!B208</f>
        <v>开封市农村饮水工程维修养护</v>
      </c>
      <c r="C19" t="str">
        <f>'附件4 规划外'!C208</f>
        <v>其他</v>
      </c>
      <c r="D19" t="str">
        <f>'附件4 规划外'!D208</f>
        <v>管网改造共计3505m，过桥钢管54m，更换阀门223个,更换水表92块，水源井井台维修工程7处，滤砂罐基础重砌1处，更换SPF37kw变频器1台，更换次氯酸钠发生器100型7套等</v>
      </c>
      <c r="E19">
        <f>'附件4 规划外'!E208</f>
        <v>141</v>
      </c>
      <c r="F19">
        <f>'附件4 规划外'!F208</f>
        <v>0</v>
      </c>
      <c r="G19">
        <f>'附件4 规划外'!G208</f>
        <v>141</v>
      </c>
      <c r="H19">
        <f>'附件4 规划外'!H208</f>
        <v>0</v>
      </c>
      <c r="I19" t="str">
        <f>'附件4 规划外'!I208</f>
        <v>完工</v>
      </c>
      <c r="J19">
        <f>'附件4 规划外'!J208</f>
        <v>141</v>
      </c>
      <c r="K19">
        <f>'附件4 规划外'!K208</f>
        <v>141</v>
      </c>
      <c r="L19">
        <f>'附件4 规划外'!L208</f>
        <v>0</v>
      </c>
      <c r="M19">
        <f>'附件4 规划外'!M208</f>
        <v>44682</v>
      </c>
      <c r="N19">
        <f>'附件4 规划外'!N208</f>
        <v>44713</v>
      </c>
      <c r="O19" t="str">
        <f>'附件4 规划外'!O208</f>
        <v>市水利局</v>
      </c>
      <c r="P19" t="str">
        <f>'附件4 规划外'!P208</f>
        <v>市本级</v>
      </c>
      <c r="Q19">
        <f>'附件4 规划外'!Q208</f>
        <v>0</v>
      </c>
      <c r="S19" t="s">
        <v>1146</v>
      </c>
      <c r="T19" s="94">
        <f>T30+T38+T49+T54+T60</f>
        <v>9</v>
      </c>
      <c r="U19" s="94" t="e">
        <f t="shared" ref="U19:X20" si="7">U30+U38+U49+U54+U60</f>
        <v>#REF!</v>
      </c>
      <c r="V19" s="94">
        <f t="shared" si="7"/>
        <v>9</v>
      </c>
      <c r="W19" s="94">
        <f t="shared" si="7"/>
        <v>1</v>
      </c>
      <c r="X19" s="94" t="e">
        <f t="shared" si="7"/>
        <v>#REF!</v>
      </c>
      <c r="Y19" s="72" t="e">
        <f>IF(U19=0,"-",ROUND(X19/U19,3))</f>
        <v>#REF!</v>
      </c>
    </row>
    <row r="20" spans="1:25">
      <c r="A20">
        <f>'附件4 规划外'!A209</f>
        <v>222</v>
      </c>
      <c r="B20" t="str">
        <f>'附件4 规划外'!B209</f>
        <v>祥符区农村饮水工程维修养护</v>
      </c>
      <c r="C20" t="str">
        <f>'附件4 规划外'!C209</f>
        <v>其他</v>
      </c>
      <c r="D20" t="str">
        <f>'附件4 规划外'!D209</f>
        <v>洗井 4 眼，钢管滤水管维修 4 处，更换 HDPEφ75×1.25Mpa管道 840m，更换 HDPEφ160×1.0Mpa 管道 150m等</v>
      </c>
      <c r="E20">
        <f>'附件4 规划外'!E209</f>
        <v>275</v>
      </c>
      <c r="F20">
        <f>'附件4 规划外'!F209</f>
        <v>0</v>
      </c>
      <c r="G20">
        <f>'附件4 规划外'!G209</f>
        <v>275</v>
      </c>
      <c r="H20">
        <f>'附件4 规划外'!H209</f>
        <v>0</v>
      </c>
      <c r="I20" t="str">
        <f>'附件4 规划外'!I209</f>
        <v>完工</v>
      </c>
      <c r="J20">
        <f>'附件4 规划外'!J209</f>
        <v>275</v>
      </c>
      <c r="K20">
        <f>'附件4 规划外'!K209</f>
        <v>275</v>
      </c>
      <c r="L20">
        <f>'附件4 规划外'!L209</f>
        <v>0</v>
      </c>
      <c r="M20">
        <f>'附件4 规划外'!M209</f>
        <v>44682</v>
      </c>
      <c r="N20">
        <f>'附件4 规划外'!N209</f>
        <v>44713</v>
      </c>
      <c r="O20" t="str">
        <f>'附件4 规划外'!O209</f>
        <v>市水利局</v>
      </c>
      <c r="P20" t="str">
        <f>'附件4 规划外'!P209</f>
        <v>祥符区</v>
      </c>
      <c r="Q20">
        <f>'附件4 规划外'!Q209</f>
        <v>0</v>
      </c>
      <c r="S20" t="s">
        <v>1147</v>
      </c>
      <c r="T20" s="94">
        <f>T31+T39+T50+T55+T61</f>
        <v>9</v>
      </c>
      <c r="U20" s="94" t="e">
        <f>U31+U39+U50+U55+U61</f>
        <v>#REF!</v>
      </c>
      <c r="V20" s="94">
        <f t="shared" si="7"/>
        <v>9</v>
      </c>
      <c r="W20" s="94">
        <f t="shared" si="7"/>
        <v>1</v>
      </c>
      <c r="X20" s="94" t="e">
        <f t="shared" si="7"/>
        <v>#REF!</v>
      </c>
      <c r="Y20" s="72" t="e">
        <f>IF(U20=0,"-",ROUND(X20/U20,3))</f>
        <v>#REF!</v>
      </c>
    </row>
    <row r="21" spans="1:17">
      <c r="A21">
        <f>'附件4 规划外'!A210</f>
        <v>223</v>
      </c>
      <c r="B21" t="str">
        <f>'附件4 规划外'!B210</f>
        <v>杞县农村饮水工程维修养护</v>
      </c>
      <c r="C21" t="str">
        <f>'附件4 规划外'!C210</f>
        <v>其他</v>
      </c>
      <c r="D21" t="str">
        <f>'附件4 规划外'!D210</f>
        <v>管网改造共计 61959米，更换阀门73 个，滤砂罐（5t）3套，更换 DN100 旋翼式滴水计数水表6 块等</v>
      </c>
      <c r="E21">
        <f>'附件4 规划外'!E210</f>
        <v>351</v>
      </c>
      <c r="F21">
        <f>'附件4 规划外'!F210</f>
        <v>0</v>
      </c>
      <c r="G21">
        <f>'附件4 规划外'!G210</f>
        <v>351</v>
      </c>
      <c r="H21">
        <f>'附件4 规划外'!H210</f>
        <v>0</v>
      </c>
      <c r="I21" t="str">
        <f>'附件4 规划外'!I210</f>
        <v>完工</v>
      </c>
      <c r="J21">
        <f>'附件4 规划外'!J210</f>
        <v>351</v>
      </c>
      <c r="K21">
        <f>'附件4 规划外'!K210</f>
        <v>351</v>
      </c>
      <c r="L21">
        <f>'附件4 规划外'!L210</f>
        <v>0</v>
      </c>
      <c r="M21">
        <f>'附件4 规划外'!M210</f>
        <v>44682</v>
      </c>
      <c r="N21">
        <f>'附件4 规划外'!N210</f>
        <v>44713</v>
      </c>
      <c r="O21" t="str">
        <f>'附件4 规划外'!O210</f>
        <v>市水利局</v>
      </c>
      <c r="P21" t="str">
        <f>'附件4 规划外'!P210</f>
        <v>杞县</v>
      </c>
      <c r="Q21">
        <f>'附件4 规划外'!Q210</f>
        <v>0</v>
      </c>
    </row>
    <row r="22" spans="1:17">
      <c r="A22">
        <f>'附件4 规划外'!A211</f>
        <v>224</v>
      </c>
      <c r="B22" t="str">
        <f>'附件4 规划外'!B211</f>
        <v>通许县农村饮水工程维修养护</v>
      </c>
      <c r="C22" t="str">
        <f>'附件4 规划外'!C211</f>
        <v>其他</v>
      </c>
      <c r="D22" t="str">
        <f>'附件4 规划外'!D211</f>
        <v>管网改造共计 8154m，更换阀门 15个，更换次氯酸钠发生器（100 型）2 套，更换 5t 滤砂罐（含钢管阀门等辅件）2 套，更换 50t 压力罐（含钢管阀门压力表等辅件）7 套，更换潜水泵（含 160m 防水潜水电缆JHS(YC)3*25）6 套等</v>
      </c>
      <c r="E22">
        <f>'附件4 规划外'!E211</f>
        <v>232</v>
      </c>
      <c r="F22">
        <f>'附件4 规划外'!F211</f>
        <v>0</v>
      </c>
      <c r="G22">
        <f>'附件4 规划外'!G211</f>
        <v>232</v>
      </c>
      <c r="H22">
        <f>'附件4 规划外'!H211</f>
        <v>0</v>
      </c>
      <c r="I22" t="str">
        <f>'附件4 规划外'!I211</f>
        <v>完工</v>
      </c>
      <c r="J22">
        <f>'附件4 规划外'!J211</f>
        <v>232</v>
      </c>
      <c r="K22">
        <f>'附件4 规划外'!K211</f>
        <v>232</v>
      </c>
      <c r="L22">
        <f>'附件4 规划外'!L211</f>
        <v>0</v>
      </c>
      <c r="M22">
        <f>'附件4 规划外'!M211</f>
        <v>44682</v>
      </c>
      <c r="N22">
        <f>'附件4 规划外'!N211</f>
        <v>44713</v>
      </c>
      <c r="O22" t="str">
        <f>'附件4 规划外'!O211</f>
        <v>市水利局</v>
      </c>
      <c r="P22" t="str">
        <f>'附件4 规划外'!P211</f>
        <v>通许县</v>
      </c>
      <c r="Q22">
        <f>'附件4 规划外'!Q211</f>
        <v>0</v>
      </c>
    </row>
    <row r="23" spans="1:17">
      <c r="A23">
        <f>'附件4 规划外'!A212</f>
        <v>225</v>
      </c>
      <c r="B23" t="str">
        <f>'附件4 规划外'!B212</f>
        <v>尉氏县农村饮水工程维修养护</v>
      </c>
      <c r="C23" t="str">
        <f>'附件4 规划外'!C212</f>
        <v>其他</v>
      </c>
      <c r="D23" t="str">
        <f>'附件4 规划外'!D212</f>
        <v>共敷设各类管网 112058m（不含入户管）；供水厂（站）中51套储水罐防腐处理（除锈、刷防锈漆、刷银粉浆）等</v>
      </c>
      <c r="E23">
        <f>'附件4 规划外'!E212</f>
        <v>361</v>
      </c>
      <c r="F23">
        <f>'附件4 规划外'!F212</f>
        <v>0</v>
      </c>
      <c r="G23">
        <f>'附件4 规划外'!G212</f>
        <v>361</v>
      </c>
      <c r="H23">
        <f>'附件4 规划外'!H212</f>
        <v>0</v>
      </c>
      <c r="I23" t="str">
        <f>'附件4 规划外'!I212</f>
        <v>完工</v>
      </c>
      <c r="J23">
        <f>'附件4 规划外'!J212</f>
        <v>361</v>
      </c>
      <c r="K23">
        <f>'附件4 规划外'!K212</f>
        <v>361</v>
      </c>
      <c r="L23" t="str">
        <f>'附件4 规划外'!L212</f>
        <v>方案在编</v>
      </c>
      <c r="M23">
        <f>'附件4 规划外'!M212</f>
        <v>44682</v>
      </c>
      <c r="N23">
        <f>'附件4 规划外'!N212</f>
        <v>44713</v>
      </c>
      <c r="O23" t="str">
        <f>'附件4 规划外'!O212</f>
        <v>市水利局</v>
      </c>
      <c r="P23" t="str">
        <f>'附件4 规划外'!P212</f>
        <v>尉氏县</v>
      </c>
      <c r="Q23">
        <f>'附件4 规划外'!Q212</f>
        <v>0</v>
      </c>
    </row>
    <row r="24" spans="1:17">
      <c r="A24">
        <f>'附件4 规划外'!A213</f>
        <v>226</v>
      </c>
      <c r="B24" t="str">
        <f>'附件4 规划外'!B213</f>
        <v>兰考县农村饮水工程维修养护</v>
      </c>
      <c r="C24" t="str">
        <f>'附件4 规划外'!C213</f>
        <v>其他</v>
      </c>
      <c r="D24" t="str">
        <f>'附件4 规划外'!D213</f>
        <v>管网改造5处，共计 64791m，更换消毒柜7套，洗井4眼，更换阀门井3处，更换50t 卧式压力罐2套,打井1眼。</v>
      </c>
      <c r="E24">
        <f>'附件4 规划外'!E213</f>
        <v>253</v>
      </c>
      <c r="F24">
        <f>'附件4 规划外'!F213</f>
        <v>0</v>
      </c>
      <c r="G24">
        <f>'附件4 规划外'!G213</f>
        <v>253</v>
      </c>
      <c r="H24">
        <f>'附件4 规划外'!H213</f>
        <v>0</v>
      </c>
      <c r="I24" t="str">
        <f>'附件4 规划外'!I213</f>
        <v>完工</v>
      </c>
      <c r="J24">
        <f>'附件4 规划外'!J213</f>
        <v>253</v>
      </c>
      <c r="K24">
        <f>'附件4 规划外'!K213</f>
        <v>253</v>
      </c>
      <c r="L24">
        <f>'附件4 规划外'!L213</f>
        <v>0</v>
      </c>
      <c r="M24">
        <f>'附件4 规划外'!M213</f>
        <v>44682</v>
      </c>
      <c r="N24">
        <f>'附件4 规划外'!N213</f>
        <v>44713</v>
      </c>
      <c r="O24" t="str">
        <f>'附件4 规划外'!O213</f>
        <v>市水利局</v>
      </c>
      <c r="P24" t="str">
        <f>'附件4 规划外'!P213</f>
        <v>兰考县</v>
      </c>
      <c r="Q24">
        <f>'附件4 规划外'!Q213</f>
        <v>0</v>
      </c>
    </row>
    <row r="25" spans="1:17">
      <c r="A25">
        <f>'附件4 规划外'!A214</f>
        <v>227</v>
      </c>
      <c r="B25" t="str">
        <f>'附件4 规划外'!B214</f>
        <v>尉氏县小型水库工程设施维修养护</v>
      </c>
      <c r="C25" t="str">
        <f>'附件4 规划外'!C214</f>
        <v>其他</v>
      </c>
      <c r="D25" t="str">
        <f>'附件4 规划外'!D214</f>
        <v>更换启闭机、丝杠、室内线路、维修闸门</v>
      </c>
      <c r="E25">
        <f>'附件4 规划外'!E214</f>
        <v>5</v>
      </c>
      <c r="F25">
        <f>'附件4 规划外'!F214</f>
        <v>0</v>
      </c>
      <c r="G25">
        <f>'附件4 规划外'!G214</f>
        <v>5</v>
      </c>
      <c r="H25">
        <f>'附件4 规划外'!H214</f>
        <v>0</v>
      </c>
      <c r="I25" t="str">
        <f>'附件4 规划外'!I214</f>
        <v>完工</v>
      </c>
      <c r="J25">
        <f>'附件4 规划外'!J214</f>
        <v>5</v>
      </c>
      <c r="K25">
        <f>'附件4 规划外'!K214</f>
        <v>5</v>
      </c>
      <c r="L25" t="str">
        <f>'附件4 规划外'!L214</f>
        <v>已完成</v>
      </c>
      <c r="M25">
        <f>'附件4 规划外'!M214</f>
        <v>44682</v>
      </c>
      <c r="N25">
        <f>'附件4 规划外'!N214</f>
        <v>44713</v>
      </c>
      <c r="O25" t="str">
        <f>'附件4 规划外'!O214</f>
        <v>市水利局</v>
      </c>
      <c r="P25" t="str">
        <f>'附件4 规划外'!P214</f>
        <v>尉氏县</v>
      </c>
      <c r="Q25">
        <f>'附件4 规划外'!Q214</f>
        <v>0</v>
      </c>
    </row>
    <row r="26" spans="13:14">
      <c r="M26" s="26"/>
      <c r="N26" s="26"/>
    </row>
    <row r="27" spans="13:14">
      <c r="M27" s="26"/>
      <c r="N27" s="26"/>
    </row>
    <row r="28" spans="1:25">
      <c r="A28" s="13" t="s">
        <v>1153</v>
      </c>
      <c r="B28" s="14"/>
      <c r="C28" s="14"/>
      <c r="D28" s="14"/>
      <c r="E28" s="14"/>
      <c r="F28" s="14"/>
      <c r="G28" s="14"/>
      <c r="H28" s="14"/>
      <c r="I28" s="14"/>
      <c r="J28" s="14"/>
      <c r="K28" s="14"/>
      <c r="L28" s="14"/>
      <c r="M28" s="14"/>
      <c r="N28" s="14"/>
      <c r="O28" s="14"/>
      <c r="P28" s="14"/>
      <c r="Q28" s="14"/>
      <c r="R28" s="14"/>
      <c r="S28" s="16" t="s">
        <v>1154</v>
      </c>
      <c r="T28" s="16"/>
      <c r="U28" s="16"/>
      <c r="V28" s="16"/>
      <c r="W28" s="16"/>
      <c r="X28" s="16"/>
      <c r="Y28" s="16"/>
    </row>
    <row r="29" ht="51" spans="1:25">
      <c r="A29" s="6" t="s">
        <v>0</v>
      </c>
      <c r="B29" s="6" t="s">
        <v>1</v>
      </c>
      <c r="C29" s="6" t="s">
        <v>2</v>
      </c>
      <c r="D29" s="6" t="s">
        <v>3</v>
      </c>
      <c r="E29" s="7" t="s">
        <v>4</v>
      </c>
      <c r="F29" s="15" t="s">
        <v>576</v>
      </c>
      <c r="G29" s="15" t="s">
        <v>577</v>
      </c>
      <c r="H29" s="15" t="s">
        <v>578</v>
      </c>
      <c r="I29" s="7" t="s">
        <v>8</v>
      </c>
      <c r="J29" s="7" t="s">
        <v>9</v>
      </c>
      <c r="K29" s="7" t="s">
        <v>10</v>
      </c>
      <c r="L29" s="7" t="s">
        <v>11</v>
      </c>
      <c r="M29" s="7" t="s">
        <v>12</v>
      </c>
      <c r="N29" s="7" t="s">
        <v>13</v>
      </c>
      <c r="O29" s="6" t="s">
        <v>581</v>
      </c>
      <c r="P29" s="6" t="s">
        <v>15</v>
      </c>
      <c r="Q29" s="6" t="s">
        <v>16</v>
      </c>
      <c r="R29" s="6" t="s">
        <v>17</v>
      </c>
      <c r="S29" s="19"/>
      <c r="T29" s="20" t="s">
        <v>1141</v>
      </c>
      <c r="U29" s="20" t="s">
        <v>1120</v>
      </c>
      <c r="V29" s="20" t="s">
        <v>1142</v>
      </c>
      <c r="W29" s="20" t="s">
        <v>1143</v>
      </c>
      <c r="X29" s="20" t="s">
        <v>1144</v>
      </c>
      <c r="Y29" s="23" t="s">
        <v>1151</v>
      </c>
    </row>
    <row r="30" spans="1:25">
      <c r="A30" t="e">
        <f>'附件4 规划外'!#REF!</f>
        <v>#REF!</v>
      </c>
      <c r="B30" t="e">
        <f>'附件4 规划外'!#REF!</f>
        <v>#REF!</v>
      </c>
      <c r="C30" t="e">
        <f>'附件4 规划外'!#REF!</f>
        <v>#REF!</v>
      </c>
      <c r="D30" t="e">
        <f>'附件4 规划外'!#REF!</f>
        <v>#REF!</v>
      </c>
      <c r="E30" t="e">
        <f>'附件4 规划外'!#REF!</f>
        <v>#REF!</v>
      </c>
      <c r="F30" t="e">
        <f>'附件4 规划外'!#REF!</f>
        <v>#REF!</v>
      </c>
      <c r="G30" t="e">
        <f>'附件4 规划外'!#REF!</f>
        <v>#REF!</v>
      </c>
      <c r="H30" t="e">
        <f>'附件4 规划外'!#REF!</f>
        <v>#REF!</v>
      </c>
      <c r="I30" t="e">
        <f>'附件4 规划外'!#REF!</f>
        <v>#REF!</v>
      </c>
      <c r="J30" t="e">
        <f>'附件4 规划外'!#REF!</f>
        <v>#REF!</v>
      </c>
      <c r="K30" t="e">
        <f>'附件4 规划外'!#REF!</f>
        <v>#REF!</v>
      </c>
      <c r="L30" t="e">
        <f>'附件4 规划外'!#REF!</f>
        <v>#REF!</v>
      </c>
      <c r="M30" t="e">
        <f>'附件4 规划外'!#REF!</f>
        <v>#REF!</v>
      </c>
      <c r="N30" t="e">
        <f>'附件4 规划外'!#REF!</f>
        <v>#REF!</v>
      </c>
      <c r="O30" t="e">
        <f>'附件4 规划外'!#REF!</f>
        <v>#REF!</v>
      </c>
      <c r="P30" t="e">
        <f>'附件4 规划外'!#REF!</f>
        <v>#REF!</v>
      </c>
      <c r="Q30" t="e">
        <f>'附件4 规划外'!#REF!</f>
        <v>#REF!</v>
      </c>
      <c r="S30" s="19" t="s">
        <v>1146</v>
      </c>
      <c r="T30" s="20">
        <f>COUNT(A30:A33)</f>
        <v>3</v>
      </c>
      <c r="U30" s="24" t="e">
        <f>SUM(E30:E33)</f>
        <v>#REF!</v>
      </c>
      <c r="V30" s="24">
        <f>COUNTIF(I30:I33,"在建")+COUNTIF(I30:I33,"完工")</f>
        <v>3</v>
      </c>
      <c r="W30" s="24">
        <f>COUNTIF(I30:I33,"完工")</f>
        <v>0</v>
      </c>
      <c r="X30" s="20" t="e">
        <f>SUM(J30:J33)</f>
        <v>#REF!</v>
      </c>
      <c r="Y30" s="25" t="e">
        <f>IF(U30=0,"-",ROUND(X30/U30,3))</f>
        <v>#REF!</v>
      </c>
    </row>
    <row r="31" ht="27" spans="1:25">
      <c r="A31">
        <f>'附件4 规划外'!A216</f>
        <v>230</v>
      </c>
      <c r="B31" t="str">
        <f>'附件4 规划外'!B216</f>
        <v>兰考县薛楼城中村改造项目（嘉和苑一期）配套基础设施建设项目</v>
      </c>
      <c r="C31" t="str">
        <f>'附件4 规划外'!C216</f>
        <v>其他</v>
      </c>
      <c r="D31" t="str">
        <f>'附件4 规划外'!D216</f>
        <v>棚户区改造相关配套基础设施建设</v>
      </c>
      <c r="E31">
        <f>'附件4 规划外'!E216</f>
        <v>1488</v>
      </c>
      <c r="F31">
        <f>'附件4 规划外'!F216</f>
        <v>0</v>
      </c>
      <c r="G31">
        <f>'附件4 规划外'!G216</f>
        <v>1488</v>
      </c>
      <c r="H31">
        <f>'附件4 规划外'!H216</f>
        <v>0</v>
      </c>
      <c r="I31" t="str">
        <f>'附件4 规划外'!I216</f>
        <v>在建</v>
      </c>
      <c r="J31">
        <f>'附件4 规划外'!J216</f>
        <v>297</v>
      </c>
      <c r="K31">
        <f>'附件4 规划外'!K216</f>
        <v>297</v>
      </c>
      <c r="L31" t="str">
        <f>'附件4 规划外'!L216</f>
        <v>正在进行招投标手续，手续完成后开工</v>
      </c>
      <c r="M31">
        <f>'附件4 规划外'!M216</f>
        <v>44713</v>
      </c>
      <c r="N31">
        <f>'附件4 规划外'!N216</f>
        <v>44896</v>
      </c>
      <c r="O31" t="str">
        <f>'附件4 规划外'!O216</f>
        <v>市住房城乡建设局</v>
      </c>
      <c r="P31" t="str">
        <f>'附件4 规划外'!P216</f>
        <v>兰考县</v>
      </c>
      <c r="Q31">
        <f>'附件4 规划外'!Q216</f>
        <v>0</v>
      </c>
      <c r="S31" s="19" t="s">
        <v>1148</v>
      </c>
      <c r="T31" s="20">
        <f>COUNTIF(G30:G33,"&gt;0")</f>
        <v>3</v>
      </c>
      <c r="U31" s="24" t="e">
        <f>SUM(G30:G33)</f>
        <v>#REF!</v>
      </c>
      <c r="V31" s="24">
        <f>COUNTIFS(G30:G33,"&gt;0",I30:I33,"完工")+COUNTIFS(G30:G33,"&gt;0",I30:I33,"在建")</f>
        <v>3</v>
      </c>
      <c r="W31" s="24">
        <f>COUNTIFS(G30:G33,"&gt;0",I30:I33,"完工")</f>
        <v>0</v>
      </c>
      <c r="X31" s="20" t="e">
        <f>SUM(K30:K33)</f>
        <v>#REF!</v>
      </c>
      <c r="Y31" s="25" t="e">
        <f>IF(U31=0,"-",ROUND(X31/U31,3))</f>
        <v>#REF!</v>
      </c>
    </row>
    <row r="32" spans="1:17">
      <c r="A32">
        <f>'附件4 规划外'!A222</f>
        <v>236</v>
      </c>
      <c r="B32" t="str">
        <f>'附件4 规划外'!B222</f>
        <v>鼓楼区西司门办事处观前街片区老旧小区改造项目</v>
      </c>
      <c r="C32" t="str">
        <f>'附件4 规划外'!C222</f>
        <v>其他</v>
      </c>
      <c r="D32" t="str">
        <f>'附件4 规划外'!D222</f>
        <v>项目改造内容主要是对道路、大门及围墙、照明系统、消防、
安防工程、管线入地工程及标识系统等进行改造。</v>
      </c>
      <c r="E32">
        <f>'附件4 规划外'!E222</f>
        <v>1009.67</v>
      </c>
      <c r="F32">
        <f>'附件4 规划外'!F222</f>
        <v>0</v>
      </c>
      <c r="G32">
        <f>'附件4 规划外'!G222</f>
        <v>1009.67</v>
      </c>
      <c r="H32">
        <f>'附件4 规划外'!H222</f>
        <v>0</v>
      </c>
      <c r="I32" t="str">
        <f>'附件4 规划外'!I222</f>
        <v>在建</v>
      </c>
      <c r="J32">
        <f>'附件4 规划外'!J222</f>
        <v>500</v>
      </c>
      <c r="K32">
        <f>'附件4 规划外'!K222</f>
        <v>500</v>
      </c>
      <c r="L32">
        <f>'附件4 规划外'!L222</f>
        <v>0</v>
      </c>
      <c r="M32">
        <f>'附件4 规划外'!M222</f>
        <v>44712</v>
      </c>
      <c r="N32">
        <f>'附件4 规划外'!N222</f>
        <v>44926</v>
      </c>
      <c r="O32" t="str">
        <f>'附件4 规划外'!O222</f>
        <v>市住房城乡建设局</v>
      </c>
      <c r="P32" t="str">
        <f>'附件4 规划外'!P222</f>
        <v>鼓楼区</v>
      </c>
      <c r="Q32">
        <f>'附件4 规划外'!Q222</f>
        <v>0</v>
      </c>
    </row>
    <row r="33" spans="1:17">
      <c r="A33">
        <f>'附件4 规划外'!A223</f>
        <v>237</v>
      </c>
      <c r="B33" t="str">
        <f>'附件4 规划外'!B223</f>
        <v>示范区老旧小区改造汉中片区红线内配套基础设施建设项目</v>
      </c>
      <c r="C33" t="str">
        <f>'附件4 规划外'!C223</f>
        <v>其他</v>
      </c>
      <c r="D33" t="str">
        <f>'附件4 规划外'!D223</f>
        <v>道路、排水、绿化、监控、照明、供水、消防设施等</v>
      </c>
      <c r="E33">
        <f>'附件4 规划外'!E223</f>
        <v>643</v>
      </c>
      <c r="F33">
        <f>'附件4 规划外'!F223</f>
        <v>0</v>
      </c>
      <c r="G33">
        <f>'附件4 规划外'!G223</f>
        <v>643</v>
      </c>
      <c r="H33">
        <f>'附件4 规划外'!H223</f>
        <v>0</v>
      </c>
      <c r="I33" t="str">
        <f>'附件4 规划外'!I223</f>
        <v>在建</v>
      </c>
      <c r="J33">
        <f>'附件4 规划外'!J223</f>
        <v>180</v>
      </c>
      <c r="K33">
        <f>'附件4 规划外'!K223</f>
        <v>180</v>
      </c>
      <c r="L33" t="str">
        <f>'附件4 规划外'!L223</f>
        <v>1、招投标工作已完成；2、设计方案已完成；3、施工单位技术人员正在现场摸排，5月底前全部开工。</v>
      </c>
      <c r="M33">
        <f>'附件4 规划外'!M223</f>
        <v>44712</v>
      </c>
      <c r="N33">
        <f>'附件4 规划外'!N223</f>
        <v>44926</v>
      </c>
      <c r="O33" t="str">
        <f>'附件4 规划外'!O223</f>
        <v>市住房城乡建设局</v>
      </c>
      <c r="P33" t="str">
        <f>'附件4 规划外'!P223</f>
        <v>城乡一体化示范区</v>
      </c>
      <c r="Q33">
        <f>'附件4 规划外'!Q223</f>
        <v>0</v>
      </c>
    </row>
    <row r="34" spans="13:14">
      <c r="M34" s="26"/>
      <c r="N34" s="26"/>
    </row>
    <row r="35" spans="13:14">
      <c r="M35" s="26"/>
      <c r="N35" s="26"/>
    </row>
    <row r="36" spans="1:25">
      <c r="A36" s="13" t="s">
        <v>1155</v>
      </c>
      <c r="B36" s="14"/>
      <c r="C36" s="14"/>
      <c r="D36" s="14"/>
      <c r="E36" s="14"/>
      <c r="F36" s="14"/>
      <c r="G36" s="14"/>
      <c r="H36" s="14"/>
      <c r="I36" s="14"/>
      <c r="J36" s="14"/>
      <c r="K36" s="14"/>
      <c r="L36" s="14"/>
      <c r="M36" s="14"/>
      <c r="N36" s="14"/>
      <c r="O36" s="14"/>
      <c r="P36" s="14"/>
      <c r="Q36" s="14"/>
      <c r="R36" s="14"/>
      <c r="S36" s="16" t="s">
        <v>1156</v>
      </c>
      <c r="T36" s="16"/>
      <c r="U36" s="16"/>
      <c r="V36" s="16"/>
      <c r="W36" s="16"/>
      <c r="X36" s="16"/>
      <c r="Y36" s="16"/>
    </row>
    <row r="37" ht="51" spans="1:25">
      <c r="A37" s="6" t="s">
        <v>0</v>
      </c>
      <c r="B37" s="6" t="s">
        <v>1</v>
      </c>
      <c r="C37" s="6" t="s">
        <v>2</v>
      </c>
      <c r="D37" s="6" t="s">
        <v>3</v>
      </c>
      <c r="E37" s="7" t="s">
        <v>4</v>
      </c>
      <c r="F37" s="15" t="s">
        <v>576</v>
      </c>
      <c r="G37" s="15" t="s">
        <v>577</v>
      </c>
      <c r="H37" s="15" t="s">
        <v>578</v>
      </c>
      <c r="I37" s="7" t="s">
        <v>8</v>
      </c>
      <c r="J37" s="7" t="s">
        <v>9</v>
      </c>
      <c r="K37" s="7" t="s">
        <v>10</v>
      </c>
      <c r="L37" s="7" t="s">
        <v>11</v>
      </c>
      <c r="M37" s="7" t="s">
        <v>12</v>
      </c>
      <c r="N37" s="7" t="s">
        <v>13</v>
      </c>
      <c r="O37" s="6" t="s">
        <v>581</v>
      </c>
      <c r="P37" s="6" t="s">
        <v>15</v>
      </c>
      <c r="Q37" s="6" t="s">
        <v>16</v>
      </c>
      <c r="R37" s="6" t="s">
        <v>17</v>
      </c>
      <c r="S37" s="19"/>
      <c r="T37" s="20" t="s">
        <v>1141</v>
      </c>
      <c r="U37" s="20" t="s">
        <v>1120</v>
      </c>
      <c r="V37" s="20" t="s">
        <v>1142</v>
      </c>
      <c r="W37" s="20" t="s">
        <v>1143</v>
      </c>
      <c r="X37" s="20" t="s">
        <v>1144</v>
      </c>
      <c r="Y37" s="23" t="s">
        <v>1151</v>
      </c>
    </row>
    <row r="38" spans="1:25">
      <c r="A38">
        <f>'附件4 规划外'!A220</f>
        <v>234</v>
      </c>
      <c r="B38" t="str">
        <f>'附件4 规划外'!B220</f>
        <v>兰考县兰阳街道第一小学教学用房、餐厅项目</v>
      </c>
      <c r="C38" t="str">
        <f>'附件4 规划外'!C220</f>
        <v>其他</v>
      </c>
      <c r="D38" t="str">
        <f>'附件4 规划外'!D220</f>
        <v>教学楼</v>
      </c>
      <c r="E38">
        <f>'附件4 规划外'!E220</f>
        <v>1250</v>
      </c>
      <c r="F38">
        <f>'附件4 规划外'!F220</f>
        <v>0</v>
      </c>
      <c r="G38">
        <f>'附件4 规划外'!G220</f>
        <v>700</v>
      </c>
      <c r="H38">
        <f>'附件4 规划外'!H220</f>
        <v>0</v>
      </c>
      <c r="I38" t="str">
        <f>'附件4 规划外'!I220</f>
        <v>在建</v>
      </c>
      <c r="J38">
        <f>'附件4 规划外'!J220</f>
        <v>700</v>
      </c>
      <c r="K38">
        <f>'附件4 规划外'!K220</f>
        <v>700</v>
      </c>
      <c r="L38">
        <f>'附件4 规划外'!L220</f>
        <v>0</v>
      </c>
      <c r="M38">
        <f>'附件4 规划外'!M220</f>
        <v>44562</v>
      </c>
      <c r="N38">
        <f>'附件4 规划外'!N220</f>
        <v>45261</v>
      </c>
      <c r="O38" t="str">
        <f>'附件4 规划外'!O220</f>
        <v>市教体局</v>
      </c>
      <c r="P38" t="str">
        <f>'附件4 规划外'!P220</f>
        <v>兰考县</v>
      </c>
      <c r="Q38">
        <f>'附件4 规划外'!Q220</f>
        <v>0</v>
      </c>
      <c r="S38" s="19" t="s">
        <v>1146</v>
      </c>
      <c r="T38" s="20">
        <f>COUNT(A38:A39)</f>
        <v>2</v>
      </c>
      <c r="U38" s="24">
        <f>SUM(E38:E39)</f>
        <v>2500</v>
      </c>
      <c r="V38" s="24">
        <f>COUNTIF(I38:I39,"在建")+COUNTIF(I38:I39,"完工")</f>
        <v>2</v>
      </c>
      <c r="W38" s="24">
        <f>COUNTIF(I38:I39,"完工")</f>
        <v>0</v>
      </c>
      <c r="X38" s="20">
        <f>SUM(J38:J39)</f>
        <v>730</v>
      </c>
      <c r="Y38" s="25">
        <f>IF(U38=0,"-",ROUND(X38/U38,3))</f>
        <v>0.292</v>
      </c>
    </row>
    <row r="39" ht="27" spans="1:25">
      <c r="A39">
        <f>'附件4 规划外'!A221</f>
        <v>235</v>
      </c>
      <c r="B39" t="str">
        <f>'附件4 规划外'!B221</f>
        <v>兰考县兰阳第三中学建设项目</v>
      </c>
      <c r="C39" t="str">
        <f>'附件4 规划外'!C221</f>
        <v>其他</v>
      </c>
      <c r="D39" t="str">
        <f>'附件4 规划外'!D221</f>
        <v>教学楼、运动场</v>
      </c>
      <c r="E39">
        <f>'附件4 规划外'!E221</f>
        <v>1250</v>
      </c>
      <c r="F39">
        <f>'附件4 规划外'!F221</f>
        <v>0</v>
      </c>
      <c r="G39">
        <f>'附件4 规划外'!G221</f>
        <v>300</v>
      </c>
      <c r="H39">
        <f>'附件4 规划外'!H221</f>
        <v>0</v>
      </c>
      <c r="I39" t="str">
        <f>'附件4 规划外'!I221</f>
        <v>在建</v>
      </c>
      <c r="J39">
        <f>'附件4 规划外'!J221</f>
        <v>30</v>
      </c>
      <c r="K39">
        <f>'附件4 规划外'!K221</f>
        <v>30</v>
      </c>
      <c r="L39">
        <f>'附件4 规划外'!L221</f>
        <v>0</v>
      </c>
      <c r="M39">
        <f>'附件4 规划外'!M221</f>
        <v>44835</v>
      </c>
      <c r="N39">
        <f>'附件4 规划外'!N221</f>
        <v>45261</v>
      </c>
      <c r="O39" t="str">
        <f>'附件4 规划外'!O221</f>
        <v>市教体局</v>
      </c>
      <c r="P39" t="str">
        <f>'附件4 规划外'!P221</f>
        <v>兰考县</v>
      </c>
      <c r="Q39">
        <f>'附件4 规划外'!Q221</f>
        <v>0</v>
      </c>
      <c r="S39" s="19" t="s">
        <v>1148</v>
      </c>
      <c r="T39" s="20">
        <f>COUNTIF(G38:G39,"&gt;0")</f>
        <v>2</v>
      </c>
      <c r="U39" s="24">
        <f>SUM(G38:G39)</f>
        <v>1000</v>
      </c>
      <c r="V39" s="24">
        <f>COUNTIFS(G38:G39,"&gt;0",I38:I39,"完工")+COUNTIFS(G38:G39,"&gt;0",I38:I39,"在建")</f>
        <v>2</v>
      </c>
      <c r="W39" s="24">
        <f>COUNTIFS(G38:G39,"&gt;0",I38:I39,"完工")</f>
        <v>0</v>
      </c>
      <c r="X39" s="20">
        <f>SUM(K38:K39)</f>
        <v>730</v>
      </c>
      <c r="Y39" s="25">
        <f>IF(U39=0,"-",ROUND(X39/U39,3))</f>
        <v>0.73</v>
      </c>
    </row>
    <row r="42" spans="1:25">
      <c r="A42" s="13" t="s">
        <v>1157</v>
      </c>
      <c r="B42" s="14"/>
      <c r="C42" s="14"/>
      <c r="D42" s="14"/>
      <c r="E42" s="14"/>
      <c r="F42" s="14"/>
      <c r="G42" s="14"/>
      <c r="H42" s="14"/>
      <c r="I42" s="14"/>
      <c r="J42" s="14"/>
      <c r="K42" s="14"/>
      <c r="L42" s="14"/>
      <c r="M42" s="14"/>
      <c r="N42" s="14"/>
      <c r="O42" s="14"/>
      <c r="P42" s="14"/>
      <c r="Q42" s="14"/>
      <c r="R42" s="14"/>
      <c r="S42" s="16" t="s">
        <v>1158</v>
      </c>
      <c r="T42" s="16"/>
      <c r="U42" s="16"/>
      <c r="V42" s="16"/>
      <c r="W42" s="16"/>
      <c r="X42" s="16"/>
      <c r="Y42" s="16"/>
    </row>
    <row r="43" ht="51" spans="1:25">
      <c r="A43" s="6" t="s">
        <v>0</v>
      </c>
      <c r="B43" s="6" t="s">
        <v>1</v>
      </c>
      <c r="C43" s="6" t="s">
        <v>2</v>
      </c>
      <c r="D43" s="6" t="s">
        <v>3</v>
      </c>
      <c r="E43" s="7" t="s">
        <v>4</v>
      </c>
      <c r="F43" s="15" t="s">
        <v>576</v>
      </c>
      <c r="G43" s="15" t="s">
        <v>577</v>
      </c>
      <c r="H43" s="15" t="s">
        <v>578</v>
      </c>
      <c r="I43" s="7" t="s">
        <v>8</v>
      </c>
      <c r="J43" s="7" t="s">
        <v>9</v>
      </c>
      <c r="K43" s="7" t="s">
        <v>10</v>
      </c>
      <c r="L43" s="7" t="s">
        <v>11</v>
      </c>
      <c r="M43" s="7" t="s">
        <v>12</v>
      </c>
      <c r="N43" s="7" t="s">
        <v>13</v>
      </c>
      <c r="O43" s="6" t="s">
        <v>581</v>
      </c>
      <c r="P43" s="6" t="s">
        <v>15</v>
      </c>
      <c r="Q43" s="6" t="s">
        <v>16</v>
      </c>
      <c r="R43" s="6" t="s">
        <v>17</v>
      </c>
      <c r="S43" s="19"/>
      <c r="T43" s="20" t="s">
        <v>1141</v>
      </c>
      <c r="U43" s="20" t="s">
        <v>1120</v>
      </c>
      <c r="V43" s="20" t="s">
        <v>1142</v>
      </c>
      <c r="W43" s="20" t="s">
        <v>1143</v>
      </c>
      <c r="X43" s="20" t="s">
        <v>1144</v>
      </c>
      <c r="Y43" s="23" t="s">
        <v>1151</v>
      </c>
    </row>
    <row r="44" spans="1:25">
      <c r="A44">
        <f>'附件4 规划外'!A224</f>
        <v>238</v>
      </c>
      <c r="B44" t="str">
        <f>'附件4 规划外'!B224</f>
        <v>禹王台区城市排水防涝数字化综合信息管理平台项目</v>
      </c>
      <c r="C44" t="str">
        <f>'附件4 规划外'!C224</f>
        <v>其他</v>
      </c>
      <c r="D44" t="str">
        <f>'附件4 规划外'!D224</f>
        <v>提升改造指挥中心，提升改造海绵城市，提升排涝除险设备。</v>
      </c>
      <c r="E44">
        <f>'附件4 规划外'!E224</f>
        <v>4000</v>
      </c>
      <c r="F44">
        <f>'附件4 规划外'!F224</f>
        <v>0</v>
      </c>
      <c r="G44">
        <f>'附件4 规划外'!G224</f>
        <v>2000</v>
      </c>
      <c r="H44">
        <f>'附件4 规划外'!H224</f>
        <v>0</v>
      </c>
      <c r="I44" t="str">
        <f>'附件4 规划外'!I224</f>
        <v>在建</v>
      </c>
      <c r="J44">
        <f>'附件4 规划外'!J224</f>
        <v>21</v>
      </c>
      <c r="K44">
        <f>'附件4 规划外'!K224</f>
        <v>21</v>
      </c>
      <c r="L44" t="str">
        <f>'附件4 规划外'!L224</f>
        <v>正在办理招投标前期手续</v>
      </c>
      <c r="M44">
        <f>'附件4 规划外'!M224</f>
        <v>44682</v>
      </c>
      <c r="N44">
        <f>'附件4 规划外'!N224</f>
        <v>44866</v>
      </c>
      <c r="O44" t="str">
        <f>'附件4 规划外'!O224</f>
        <v>市城管局</v>
      </c>
      <c r="P44" t="str">
        <f>'附件4 规划外'!P224</f>
        <v>禹王台区</v>
      </c>
      <c r="Q44">
        <f>'附件4 规划外'!Q224</f>
        <v>0</v>
      </c>
      <c r="S44" s="19" t="s">
        <v>1146</v>
      </c>
      <c r="T44" s="20">
        <f>COUNT(A44:A45)</f>
        <v>1</v>
      </c>
      <c r="U44" s="24">
        <f>SUM(E44)</f>
        <v>4000</v>
      </c>
      <c r="V44" s="24">
        <f>COUNTIF(I44:I45,"在建")+COUNTIF(I44:I45,"完工")</f>
        <v>1</v>
      </c>
      <c r="W44" s="24">
        <f>COUNTIF(I44:I45,"完工")</f>
        <v>0</v>
      </c>
      <c r="X44" s="20">
        <f>SUM(J44:J45)</f>
        <v>21</v>
      </c>
      <c r="Y44" s="25">
        <f>IF(U44=0,"-",ROUND(X44/U44,3))</f>
        <v>0.005</v>
      </c>
    </row>
    <row r="45" ht="27" spans="19:25">
      <c r="S45" s="19" t="s">
        <v>1148</v>
      </c>
      <c r="T45" s="20">
        <f>COUNTIF(G44:G45,"&gt;0")</f>
        <v>1</v>
      </c>
      <c r="U45" s="24">
        <f>SUM(G44)</f>
        <v>2000</v>
      </c>
      <c r="V45" s="24">
        <f>COUNTIFS(G44:G45,"&gt;0",I44:I45,"完工")+COUNTIFS(G44:G45,"&gt;0",I44:I45,"在建")</f>
        <v>1</v>
      </c>
      <c r="W45" s="24">
        <f>COUNTIFS(G44:G45,"&gt;0",I44:I45,"完工")</f>
        <v>0</v>
      </c>
      <c r="X45" s="20">
        <f>SUM(K44:K45)</f>
        <v>21</v>
      </c>
      <c r="Y45" s="25">
        <f>IF(U45=0,"-",ROUND(X45/U45,3))</f>
        <v>0.011</v>
      </c>
    </row>
    <row r="47" spans="1:25">
      <c r="A47" s="13" t="s">
        <v>1159</v>
      </c>
      <c r="B47" s="14"/>
      <c r="C47" s="14"/>
      <c r="D47" s="14"/>
      <c r="E47" s="14"/>
      <c r="F47" s="14"/>
      <c r="G47" s="14"/>
      <c r="H47" s="14"/>
      <c r="I47" s="14"/>
      <c r="J47" s="14"/>
      <c r="K47" s="14"/>
      <c r="L47" s="14"/>
      <c r="M47" s="14"/>
      <c r="N47" s="14"/>
      <c r="O47" s="14"/>
      <c r="P47" s="14"/>
      <c r="Q47" s="14"/>
      <c r="R47" s="14"/>
      <c r="S47" s="16" t="s">
        <v>1160</v>
      </c>
      <c r="T47" s="16"/>
      <c r="U47" s="16"/>
      <c r="V47" s="16"/>
      <c r="W47" s="16"/>
      <c r="X47" s="16"/>
      <c r="Y47" s="16"/>
    </row>
    <row r="48" ht="51" spans="1:25">
      <c r="A48" s="6" t="s">
        <v>0</v>
      </c>
      <c r="B48" s="6" t="s">
        <v>1</v>
      </c>
      <c r="C48" s="6" t="s">
        <v>2</v>
      </c>
      <c r="D48" s="6" t="s">
        <v>3</v>
      </c>
      <c r="E48" s="7" t="s">
        <v>4</v>
      </c>
      <c r="F48" s="15" t="s">
        <v>576</v>
      </c>
      <c r="G48" s="15" t="s">
        <v>577</v>
      </c>
      <c r="H48" s="15" t="s">
        <v>578</v>
      </c>
      <c r="I48" s="7" t="s">
        <v>8</v>
      </c>
      <c r="J48" s="7" t="s">
        <v>9</v>
      </c>
      <c r="K48" s="7" t="s">
        <v>10</v>
      </c>
      <c r="L48" s="7" t="s">
        <v>11</v>
      </c>
      <c r="M48" s="7" t="s">
        <v>12</v>
      </c>
      <c r="N48" s="7" t="s">
        <v>13</v>
      </c>
      <c r="O48" s="6" t="s">
        <v>581</v>
      </c>
      <c r="P48" s="6" t="s">
        <v>15</v>
      </c>
      <c r="Q48" s="6" t="s">
        <v>16</v>
      </c>
      <c r="R48" s="6" t="s">
        <v>17</v>
      </c>
      <c r="S48" s="19"/>
      <c r="T48" s="20" t="s">
        <v>1141</v>
      </c>
      <c r="U48" s="20" t="s">
        <v>1120</v>
      </c>
      <c r="V48" s="20" t="s">
        <v>1142</v>
      </c>
      <c r="W48" s="20" t="s">
        <v>1143</v>
      </c>
      <c r="X48" s="20" t="s">
        <v>1144</v>
      </c>
      <c r="Y48" s="23" t="s">
        <v>1151</v>
      </c>
    </row>
    <row r="49" spans="1:25">
      <c r="A49">
        <f>'附件4 规划外'!A215</f>
        <v>229</v>
      </c>
      <c r="B49" t="str">
        <f>'附件4 规划外'!B215</f>
        <v>新增开封市街道（社区）综合养老服务中心项目</v>
      </c>
      <c r="C49" t="str">
        <f>'附件4 规划外'!C215</f>
        <v>其他</v>
      </c>
      <c r="D49">
        <f>'附件4 规划外'!D215</f>
        <v>0</v>
      </c>
      <c r="E49">
        <f>'附件4 规划外'!E215</f>
        <v>6853</v>
      </c>
      <c r="F49">
        <f>'附件4 规划外'!F215</f>
        <v>0</v>
      </c>
      <c r="G49">
        <f>'附件4 规划外'!G215</f>
        <v>3500</v>
      </c>
      <c r="H49">
        <f>'附件4 规划外'!H215</f>
        <v>0</v>
      </c>
      <c r="I49" t="str">
        <f>'附件4 规划外'!I215</f>
        <v>在建</v>
      </c>
      <c r="J49">
        <f>'附件4 规划外'!J215</f>
        <v>2700</v>
      </c>
      <c r="K49">
        <f>'附件4 规划外'!K215</f>
        <v>2700</v>
      </c>
      <c r="L49">
        <f>'附件4 规划外'!L215</f>
        <v>0</v>
      </c>
      <c r="M49">
        <f>'附件4 规划外'!M215</f>
        <v>44682</v>
      </c>
      <c r="N49">
        <f>'附件4 规划外'!N215</f>
        <v>44866</v>
      </c>
      <c r="O49" t="str">
        <f>'附件4 规划外'!O215</f>
        <v>市民政局</v>
      </c>
      <c r="P49" t="str">
        <f>'附件4 规划外'!P215</f>
        <v>市本级</v>
      </c>
      <c r="Q49">
        <f>'附件4 规划外'!Q215</f>
        <v>0</v>
      </c>
      <c r="S49" s="19" t="s">
        <v>1146</v>
      </c>
      <c r="T49" s="20">
        <f>COUNT(A49:A50)</f>
        <v>1</v>
      </c>
      <c r="U49" s="24">
        <f>SUM(E49)</f>
        <v>6853</v>
      </c>
      <c r="V49" s="24">
        <f>COUNTIF(I49:I50,"在建")+COUNTIF(I49:I50,"完工")</f>
        <v>1</v>
      </c>
      <c r="W49" s="24">
        <f>COUNTIF(I49:I50,"完工")</f>
        <v>0</v>
      </c>
      <c r="X49" s="20">
        <f>SUM(J49:J50)</f>
        <v>2700</v>
      </c>
      <c r="Y49" s="25">
        <f>IF(U49=0,"-",ROUND(X49/U49,3))</f>
        <v>0.394</v>
      </c>
    </row>
    <row r="50" ht="27" spans="19:25">
      <c r="S50" s="19" t="s">
        <v>1148</v>
      </c>
      <c r="T50" s="20">
        <f>COUNTIF(G49:G50,"&gt;0")</f>
        <v>1</v>
      </c>
      <c r="U50" s="24">
        <f>SUM(G49)</f>
        <v>3500</v>
      </c>
      <c r="V50" s="24">
        <f>COUNTIFS(G49:G50,"&gt;0",I49:I50,"完工")+COUNTIFS(G49:G50,"&gt;0",I49:I50,"在建")</f>
        <v>1</v>
      </c>
      <c r="W50" s="24">
        <f>COUNTIFS(G49:G50,"&gt;0",I49:I50,"完工")</f>
        <v>0</v>
      </c>
      <c r="X50" s="20">
        <f>SUM(K49:K50)</f>
        <v>2700</v>
      </c>
      <c r="Y50" s="25">
        <f>IF(U50=0,"-",ROUND(X50/U50,3))</f>
        <v>0.771</v>
      </c>
    </row>
    <row r="51" spans="19:25">
      <c r="S51" s="95"/>
      <c r="T51" s="96"/>
      <c r="U51" s="97"/>
      <c r="V51" s="97"/>
      <c r="W51" s="97"/>
      <c r="X51" s="96"/>
      <c r="Y51" s="100"/>
    </row>
    <row r="52" spans="1:25">
      <c r="A52" s="13" t="s">
        <v>1161</v>
      </c>
      <c r="B52" s="14"/>
      <c r="C52" s="14"/>
      <c r="D52" s="14"/>
      <c r="E52" s="14"/>
      <c r="F52" s="14"/>
      <c r="G52" s="14"/>
      <c r="H52" s="14"/>
      <c r="I52" s="14"/>
      <c r="J52" s="14"/>
      <c r="K52" s="14"/>
      <c r="L52" s="14"/>
      <c r="M52" s="14"/>
      <c r="N52" s="14"/>
      <c r="O52" s="14"/>
      <c r="P52" s="14"/>
      <c r="Q52" s="14"/>
      <c r="R52" s="14"/>
      <c r="S52" s="16" t="s">
        <v>1162</v>
      </c>
      <c r="T52" s="16"/>
      <c r="U52" s="16"/>
      <c r="V52" s="16"/>
      <c r="W52" s="16"/>
      <c r="X52" s="16"/>
      <c r="Y52" s="16"/>
    </row>
    <row r="53" ht="51" spans="1:25">
      <c r="A53" s="6" t="s">
        <v>0</v>
      </c>
      <c r="B53" s="6" t="s">
        <v>1</v>
      </c>
      <c r="C53" s="6" t="s">
        <v>2</v>
      </c>
      <c r="D53" s="6" t="s">
        <v>3</v>
      </c>
      <c r="E53" s="7" t="s">
        <v>4</v>
      </c>
      <c r="F53" s="15" t="s">
        <v>576</v>
      </c>
      <c r="G53" s="15" t="s">
        <v>577</v>
      </c>
      <c r="H53" s="15" t="s">
        <v>578</v>
      </c>
      <c r="I53" s="7" t="s">
        <v>8</v>
      </c>
      <c r="J53" s="7" t="s">
        <v>9</v>
      </c>
      <c r="K53" s="7" t="s">
        <v>10</v>
      </c>
      <c r="L53" s="7" t="s">
        <v>11</v>
      </c>
      <c r="M53" s="7" t="s">
        <v>12</v>
      </c>
      <c r="N53" s="7" t="s">
        <v>13</v>
      </c>
      <c r="O53" s="6" t="s">
        <v>581</v>
      </c>
      <c r="P53" s="6" t="s">
        <v>15</v>
      </c>
      <c r="Q53" s="6" t="s">
        <v>16</v>
      </c>
      <c r="R53" s="6" t="s">
        <v>17</v>
      </c>
      <c r="S53" s="19"/>
      <c r="T53" s="20" t="s">
        <v>1141</v>
      </c>
      <c r="U53" s="20" t="s">
        <v>1120</v>
      </c>
      <c r="V53" s="20" t="s">
        <v>1142</v>
      </c>
      <c r="W53" s="20" t="s">
        <v>1143</v>
      </c>
      <c r="X53" s="20" t="s">
        <v>1144</v>
      </c>
      <c r="Y53" s="23" t="s">
        <v>1151</v>
      </c>
    </row>
    <row r="54" spans="1:25">
      <c r="A54">
        <f>'附件4 规划外'!A218</f>
        <v>232</v>
      </c>
      <c r="B54" t="str">
        <f>'附件4 规划外'!B218</f>
        <v>焦裕禄烈士墓保护利用设施</v>
      </c>
      <c r="C54" t="str">
        <f>'附件4 规划外'!C218</f>
        <v>其他</v>
      </c>
      <c r="D54">
        <f>'附件4 规划外'!D218</f>
        <v>0</v>
      </c>
      <c r="E54">
        <f>'附件4 规划外'!E218</f>
        <v>2023</v>
      </c>
      <c r="F54">
        <f>'附件4 规划外'!F218</f>
        <v>0</v>
      </c>
      <c r="G54">
        <f>'附件4 规划外'!G218</f>
        <v>1800</v>
      </c>
      <c r="H54">
        <f>'附件4 规划外'!H218</f>
        <v>0</v>
      </c>
      <c r="I54" t="str">
        <f>'附件4 规划外'!I218</f>
        <v>在建</v>
      </c>
      <c r="J54">
        <f>'附件4 规划外'!J218</f>
        <v>700</v>
      </c>
      <c r="K54">
        <f>'附件4 规划外'!K218</f>
        <v>700</v>
      </c>
      <c r="L54">
        <f>'附件4 规划外'!L218</f>
        <v>0</v>
      </c>
      <c r="M54">
        <f>'附件4 规划外'!M218</f>
        <v>44562</v>
      </c>
      <c r="N54">
        <f>'附件4 规划外'!N218</f>
        <v>45261</v>
      </c>
      <c r="O54" t="str">
        <f>'附件4 规划外'!O218</f>
        <v>市文化广电旅游局</v>
      </c>
      <c r="P54" t="str">
        <f>'附件4 规划外'!P218</f>
        <v>兰考县</v>
      </c>
      <c r="Q54">
        <f>'附件4 规划外'!Q218</f>
        <v>0</v>
      </c>
      <c r="S54" s="19" t="s">
        <v>1146</v>
      </c>
      <c r="T54" s="20">
        <f>COUNT(A54:A55)</f>
        <v>2</v>
      </c>
      <c r="U54" s="24">
        <f>SUM(E54:E55)</f>
        <v>68433.49</v>
      </c>
      <c r="V54" s="24">
        <f>COUNTIF(I54:I55,"在建")+COUNTIF(I54:I55,"完工")</f>
        <v>2</v>
      </c>
      <c r="W54" s="24">
        <f>COUNTIF(I54:I55,"完工")</f>
        <v>0</v>
      </c>
      <c r="X54" s="20">
        <f>SUM(J54:J55)</f>
        <v>35554.3</v>
      </c>
      <c r="Y54" s="25">
        <f>IF(U54=0,"-",ROUND(X54/U54,3))</f>
        <v>0.52</v>
      </c>
    </row>
    <row r="55" ht="27" spans="1:25">
      <c r="A55">
        <f>'附件4 规划外'!A219</f>
        <v>233</v>
      </c>
      <c r="B55" t="str">
        <f>'附件4 规划外'!B219</f>
        <v>北宋东京城顺天门（新郑门）遗址展示馆建设项目</v>
      </c>
      <c r="C55" t="str">
        <f>'附件4 规划外'!C219</f>
        <v>其他</v>
      </c>
      <c r="D55">
        <f>'附件4 规划外'!D219</f>
        <v>0</v>
      </c>
      <c r="E55">
        <f>'附件4 规划外'!E219</f>
        <v>66410.49</v>
      </c>
      <c r="F55">
        <f>'附件4 规划外'!F219</f>
        <v>0</v>
      </c>
      <c r="G55">
        <f>'附件4 规划外'!G219</f>
        <v>39184</v>
      </c>
      <c r="H55">
        <f>'附件4 规划外'!H219</f>
        <v>0</v>
      </c>
      <c r="I55" t="str">
        <f>'附件4 规划外'!I219</f>
        <v>在建</v>
      </c>
      <c r="J55">
        <f>'附件4 规划外'!J219</f>
        <v>34854.3</v>
      </c>
      <c r="K55">
        <f>'附件4 规划外'!K219</f>
        <v>34854.3</v>
      </c>
      <c r="L55">
        <f>'附件4 规划外'!L219</f>
        <v>0</v>
      </c>
      <c r="M55">
        <f>'附件4 规划外'!M219</f>
        <v>44562</v>
      </c>
      <c r="N55">
        <f>'附件4 规划外'!N219</f>
        <v>45261</v>
      </c>
      <c r="O55" t="str">
        <f>'附件4 规划外'!O219</f>
        <v>市文化广电旅游局</v>
      </c>
      <c r="P55" t="str">
        <f>'附件4 规划外'!P219</f>
        <v>市本级</v>
      </c>
      <c r="Q55">
        <f>'附件4 规划外'!Q219</f>
        <v>0</v>
      </c>
      <c r="S55" s="19" t="s">
        <v>1148</v>
      </c>
      <c r="T55" s="20">
        <f>COUNTIF(G54:G55,"&gt;0")</f>
        <v>2</v>
      </c>
      <c r="U55" s="24">
        <f>SUM(G54:G55)</f>
        <v>40984</v>
      </c>
      <c r="V55" s="24">
        <f>COUNTIFS(G54:G55,"&gt;0",I54:I55,"完工")+COUNTIFS(G54:G55,"&gt;0",I54:I55,"在建")</f>
        <v>2</v>
      </c>
      <c r="W55" s="24">
        <f>COUNTIFS(G54:G55,"&gt;0",I54:I55,"完工")</f>
        <v>0</v>
      </c>
      <c r="X55" s="20">
        <f>SUM(K54:K55)</f>
        <v>35554.3</v>
      </c>
      <c r="Y55" s="25">
        <f>IF(U55=0,"-",ROUND(X55/U55,3))</f>
        <v>0.868</v>
      </c>
    </row>
    <row r="56" spans="13:14">
      <c r="M56" s="26"/>
      <c r="N56" s="26"/>
    </row>
    <row r="57" spans="13:14">
      <c r="M57" s="26"/>
      <c r="N57" s="26"/>
    </row>
    <row r="58" spans="1:25">
      <c r="A58" s="13" t="s">
        <v>1163</v>
      </c>
      <c r="B58" s="14"/>
      <c r="C58" s="14"/>
      <c r="D58" s="14"/>
      <c r="E58" s="14"/>
      <c r="F58" s="14"/>
      <c r="G58" s="14"/>
      <c r="H58" s="14"/>
      <c r="I58" s="14"/>
      <c r="J58" s="14"/>
      <c r="K58" s="14"/>
      <c r="L58" s="14"/>
      <c r="M58" s="14"/>
      <c r="N58" s="14"/>
      <c r="O58" s="14"/>
      <c r="P58" s="14"/>
      <c r="Q58" s="14"/>
      <c r="R58" s="14"/>
      <c r="S58" s="16" t="s">
        <v>1164</v>
      </c>
      <c r="T58" s="16"/>
      <c r="U58" s="16"/>
      <c r="V58" s="16"/>
      <c r="W58" s="16"/>
      <c r="X58" s="16"/>
      <c r="Y58" s="16"/>
    </row>
    <row r="59" ht="51" spans="1:25">
      <c r="A59" s="6" t="s">
        <v>0</v>
      </c>
      <c r="B59" s="6" t="s">
        <v>1</v>
      </c>
      <c r="C59" s="6" t="s">
        <v>2</v>
      </c>
      <c r="D59" s="6" t="s">
        <v>3</v>
      </c>
      <c r="E59" s="7" t="s">
        <v>4</v>
      </c>
      <c r="F59" s="15" t="s">
        <v>576</v>
      </c>
      <c r="G59" s="15" t="s">
        <v>577</v>
      </c>
      <c r="H59" s="15" t="s">
        <v>578</v>
      </c>
      <c r="I59" s="7" t="s">
        <v>8</v>
      </c>
      <c r="J59" s="7" t="s">
        <v>9</v>
      </c>
      <c r="K59" s="7" t="s">
        <v>10</v>
      </c>
      <c r="L59" s="7" t="s">
        <v>11</v>
      </c>
      <c r="M59" s="7" t="s">
        <v>12</v>
      </c>
      <c r="N59" s="7" t="s">
        <v>13</v>
      </c>
      <c r="O59" s="6" t="s">
        <v>581</v>
      </c>
      <c r="P59" s="6" t="s">
        <v>15</v>
      </c>
      <c r="Q59" s="6" t="s">
        <v>16</v>
      </c>
      <c r="R59" s="6" t="s">
        <v>17</v>
      </c>
      <c r="S59" s="19"/>
      <c r="T59" s="20" t="s">
        <v>1141</v>
      </c>
      <c r="U59" s="20" t="s">
        <v>1120</v>
      </c>
      <c r="V59" s="20" t="s">
        <v>1142</v>
      </c>
      <c r="W59" s="20" t="s">
        <v>1143</v>
      </c>
      <c r="X59" s="20" t="s">
        <v>1144</v>
      </c>
      <c r="Y59" s="23" t="s">
        <v>1151</v>
      </c>
    </row>
    <row r="60" spans="1:25">
      <c r="A60">
        <f>'附件4 规划外'!A217</f>
        <v>231</v>
      </c>
      <c r="B60" t="str">
        <f>'附件4 规划外'!B217</f>
        <v>开封童翎教育科技有限公司开封市示范区童翎托育中心项目</v>
      </c>
      <c r="C60" t="str">
        <f>'附件4 规划外'!C217</f>
        <v>其他</v>
      </c>
      <c r="D60" t="str">
        <f>'附件4 规划外'!D217</f>
        <v>托育教室、游戏活动区、家长休息区、绘本阅读区等，集接待室、卫生保健室、多功能室、感统训练室为一体的婴幼儿活动与家长育儿学习的公共场所</v>
      </c>
      <c r="E60">
        <f>'附件4 规划外'!E217</f>
        <v>240</v>
      </c>
      <c r="F60">
        <f>'附件4 规划外'!F217</f>
        <v>0</v>
      </c>
      <c r="G60">
        <f>'附件4 规划外'!G217</f>
        <v>240</v>
      </c>
      <c r="H60">
        <f>'附件4 规划外'!H217</f>
        <v>0</v>
      </c>
      <c r="I60" t="str">
        <f>'附件4 规划外'!I217</f>
        <v>完工</v>
      </c>
      <c r="J60">
        <f>'附件4 规划外'!J217</f>
        <v>240</v>
      </c>
      <c r="K60">
        <f>'附件4 规划外'!K217</f>
        <v>240</v>
      </c>
      <c r="L60" t="str">
        <f>'附件4 规划外'!L217</f>
        <v>1.基础墙面、地面已经进行完毕，待后续维护和整修。
2.消防工程和空调已经安装完毕，待验收调试。
3.厨房装修和设备采购待进一步完善。</v>
      </c>
      <c r="M60">
        <f>'附件4 规划外'!M217</f>
        <v>44562</v>
      </c>
      <c r="N60">
        <f>'附件4 规划外'!N217</f>
        <v>44743</v>
      </c>
      <c r="O60" t="str">
        <f>'附件4 规划外'!O217</f>
        <v>市卫生健康委</v>
      </c>
      <c r="P60" t="str">
        <f>'附件4 规划外'!P217</f>
        <v>城乡一体化示范区</v>
      </c>
      <c r="Q60">
        <f>'附件4 规划外'!Q217</f>
        <v>0</v>
      </c>
      <c r="S60" s="19" t="s">
        <v>1146</v>
      </c>
      <c r="T60" s="20">
        <f>COUNT(A60:A61)</f>
        <v>1</v>
      </c>
      <c r="U60" s="24">
        <f>SUM(E60)</f>
        <v>240</v>
      </c>
      <c r="V60" s="24">
        <f>COUNTIF(I60:I61,"在建")+COUNTIF(I60:I61,"完工")</f>
        <v>1</v>
      </c>
      <c r="W60" s="24">
        <f>COUNTIF(I60:I61,"完工")</f>
        <v>1</v>
      </c>
      <c r="X60" s="20">
        <f>SUM(J60:J61)</f>
        <v>240</v>
      </c>
      <c r="Y60" s="25">
        <f>IF(U60=0,"-",ROUND(X60/U60,3))</f>
        <v>1</v>
      </c>
    </row>
    <row r="61" ht="27" spans="13:25">
      <c r="M61" s="26"/>
      <c r="N61" s="26"/>
      <c r="S61" s="19" t="s">
        <v>1148</v>
      </c>
      <c r="T61" s="20">
        <f>COUNTIF(G60:G61,"&gt;0")</f>
        <v>1</v>
      </c>
      <c r="U61" s="24">
        <f>SUM(G60)</f>
        <v>240</v>
      </c>
      <c r="V61" s="24">
        <f>COUNTIFS(G60:G61,"&gt;0",I60:I61,"完工")+COUNTIFS(G60:G61,"&gt;0",I60:I61,"在建")</f>
        <v>1</v>
      </c>
      <c r="W61" s="24">
        <f>COUNTIFS(G60:G61,"&gt;0",I60:I61,"完工")</f>
        <v>1</v>
      </c>
      <c r="X61" s="20">
        <f>SUM(K60:K61)</f>
        <v>240</v>
      </c>
      <c r="Y61" s="25">
        <f>IF(U61=0,"-",ROUND(X61/U61,3))</f>
        <v>1</v>
      </c>
    </row>
    <row r="62" spans="13:14">
      <c r="M62" s="26"/>
      <c r="N62" s="26"/>
    </row>
    <row r="63" spans="1:25">
      <c r="A63" s="13" t="s">
        <v>1165</v>
      </c>
      <c r="B63" s="14"/>
      <c r="C63" s="14"/>
      <c r="D63" s="14"/>
      <c r="E63" s="14"/>
      <c r="F63" s="14"/>
      <c r="G63" s="14"/>
      <c r="H63" s="14"/>
      <c r="I63" s="14"/>
      <c r="J63" s="14"/>
      <c r="K63" s="14"/>
      <c r="L63" s="14"/>
      <c r="M63" s="14"/>
      <c r="N63" s="14"/>
      <c r="O63" s="14"/>
      <c r="P63" s="14"/>
      <c r="Q63" s="14"/>
      <c r="R63" s="14"/>
      <c r="S63" s="16" t="s">
        <v>1166</v>
      </c>
      <c r="T63" s="16"/>
      <c r="U63" s="16"/>
      <c r="V63" s="16"/>
      <c r="W63" s="16"/>
      <c r="X63" s="16"/>
      <c r="Y63" s="16"/>
    </row>
    <row r="64" ht="51" spans="1:25">
      <c r="A64" s="6" t="s">
        <v>0</v>
      </c>
      <c r="B64" s="6" t="s">
        <v>1</v>
      </c>
      <c r="C64" s="6" t="s">
        <v>2</v>
      </c>
      <c r="D64" s="6" t="s">
        <v>3</v>
      </c>
      <c r="E64" s="7" t="s">
        <v>4</v>
      </c>
      <c r="F64" s="15" t="s">
        <v>576</v>
      </c>
      <c r="G64" s="15" t="s">
        <v>577</v>
      </c>
      <c r="H64" s="15" t="s">
        <v>578</v>
      </c>
      <c r="I64" s="7" t="s">
        <v>8</v>
      </c>
      <c r="J64" s="7" t="s">
        <v>9</v>
      </c>
      <c r="K64" s="7" t="s">
        <v>10</v>
      </c>
      <c r="L64" s="7" t="s">
        <v>11</v>
      </c>
      <c r="M64" s="7" t="s">
        <v>12</v>
      </c>
      <c r="N64" s="7" t="s">
        <v>13</v>
      </c>
      <c r="O64" s="6" t="s">
        <v>581</v>
      </c>
      <c r="P64" s="6" t="s">
        <v>15</v>
      </c>
      <c r="Q64" s="6" t="s">
        <v>16</v>
      </c>
      <c r="R64" s="6" t="s">
        <v>17</v>
      </c>
      <c r="S64" s="19"/>
      <c r="T64" s="20" t="s">
        <v>1141</v>
      </c>
      <c r="U64" s="20" t="s">
        <v>1120</v>
      </c>
      <c r="V64" s="20" t="s">
        <v>1142</v>
      </c>
      <c r="W64" s="20" t="s">
        <v>1143</v>
      </c>
      <c r="X64" s="20" t="s">
        <v>1144</v>
      </c>
      <c r="Y64" s="23" t="s">
        <v>1151</v>
      </c>
    </row>
    <row r="65" spans="1:25">
      <c r="A65">
        <f>'附件4 规划外'!A225</f>
        <v>239</v>
      </c>
      <c r="B65" t="str">
        <f>'附件4 规划外'!B225</f>
        <v>兰考县高标准农田</v>
      </c>
      <c r="C65" t="str">
        <f>'附件4 规划外'!C225</f>
        <v>其他</v>
      </c>
      <c r="D65">
        <f>'附件4 规划外'!D225</f>
        <v>0</v>
      </c>
      <c r="E65">
        <f>'附件4 规划外'!E225</f>
        <v>8204</v>
      </c>
      <c r="F65">
        <f>'附件4 规划外'!F225</f>
        <v>0</v>
      </c>
      <c r="G65">
        <f>'附件4 规划外'!G225</f>
        <v>3500</v>
      </c>
      <c r="H65">
        <f>'附件4 规划外'!H225</f>
        <v>0</v>
      </c>
      <c r="I65" t="str">
        <f>'附件4 规划外'!I225</f>
        <v>在建</v>
      </c>
      <c r="J65">
        <f>'附件4 规划外'!J225</f>
        <v>5994</v>
      </c>
      <c r="K65">
        <f>'附件4 规划外'!K225</f>
        <v>5994</v>
      </c>
      <c r="L65">
        <f>'附件4 规划外'!L225</f>
        <v>0</v>
      </c>
      <c r="M65">
        <f>'附件4 规划外'!M225</f>
        <v>44712</v>
      </c>
      <c r="N65">
        <f>'附件4 规划外'!N225</f>
        <v>45291</v>
      </c>
      <c r="O65" t="str">
        <f>'附件4 规划外'!O225</f>
        <v>市农业农村局</v>
      </c>
      <c r="P65" t="str">
        <f>'附件4 规划外'!P225</f>
        <v>兰考县</v>
      </c>
      <c r="Q65">
        <f>'附件4 规划外'!Q225</f>
        <v>0</v>
      </c>
      <c r="S65" s="19" t="s">
        <v>1146</v>
      </c>
      <c r="T65" s="20">
        <f>COUNT(A65:A66)</f>
        <v>1</v>
      </c>
      <c r="U65" s="24">
        <f>SUM(E65)</f>
        <v>8204</v>
      </c>
      <c r="V65" s="24">
        <f>COUNTIF(I65:I66,"在建")+COUNTIF(I65:I66,"完工")</f>
        <v>1</v>
      </c>
      <c r="W65" s="24">
        <f>COUNTIF(I65:I66,"完工")</f>
        <v>0</v>
      </c>
      <c r="X65" s="20">
        <f>SUM(J65:J66)</f>
        <v>5994</v>
      </c>
      <c r="Y65" s="25">
        <f>IF(U65=0,"-",ROUND(X65/U65,3))</f>
        <v>0.731</v>
      </c>
    </row>
    <row r="66" ht="27" spans="19:25">
      <c r="S66" s="19" t="s">
        <v>1148</v>
      </c>
      <c r="T66" s="20">
        <f>COUNTIF(G65:G66,"&gt;0")</f>
        <v>1</v>
      </c>
      <c r="U66" s="24">
        <f>SUM(G65)</f>
        <v>3500</v>
      </c>
      <c r="V66" s="24">
        <f>COUNTIFS(G65:G66,"&gt;0",I65:I66,"完工")+COUNTIFS(G65:G66,"&gt;0",I65:I66,"在建")</f>
        <v>1</v>
      </c>
      <c r="W66" s="24">
        <f>COUNTIFS(G65:G66,"&gt;0",I65:I66,"完工")</f>
        <v>0</v>
      </c>
      <c r="X66" s="20">
        <f>SUM(K65:K66)</f>
        <v>5994</v>
      </c>
      <c r="Y66" s="25">
        <f>IF(U66=0,"-",ROUND(X66/U66,3))</f>
        <v>1.713</v>
      </c>
    </row>
    <row r="68" spans="1:25">
      <c r="A68" s="13" t="s">
        <v>1167</v>
      </c>
      <c r="B68" s="14"/>
      <c r="C68" s="14"/>
      <c r="D68" s="14"/>
      <c r="E68" s="14"/>
      <c r="F68" s="14"/>
      <c r="G68" s="14"/>
      <c r="H68" s="14"/>
      <c r="I68" s="14"/>
      <c r="J68" s="14"/>
      <c r="K68" s="14"/>
      <c r="L68" s="14"/>
      <c r="M68" s="14"/>
      <c r="N68" s="14"/>
      <c r="O68" s="14"/>
      <c r="P68" s="14"/>
      <c r="Q68" s="14"/>
      <c r="R68" s="14"/>
      <c r="S68" s="89" t="s">
        <v>1168</v>
      </c>
      <c r="T68" s="89"/>
      <c r="U68" s="89"/>
      <c r="V68" s="89"/>
      <c r="W68" s="89"/>
      <c r="X68" s="89"/>
      <c r="Y68" s="89"/>
    </row>
    <row r="69" ht="51" spans="1:25">
      <c r="A69" s="6" t="s">
        <v>0</v>
      </c>
      <c r="B69" s="6" t="s">
        <v>1</v>
      </c>
      <c r="C69" s="6" t="s">
        <v>2</v>
      </c>
      <c r="D69" s="6" t="s">
        <v>3</v>
      </c>
      <c r="E69" s="7" t="s">
        <v>4</v>
      </c>
      <c r="F69" s="15" t="s">
        <v>576</v>
      </c>
      <c r="G69" s="15" t="s">
        <v>577</v>
      </c>
      <c r="H69" s="15" t="s">
        <v>578</v>
      </c>
      <c r="I69" s="7" t="s">
        <v>8</v>
      </c>
      <c r="J69" s="7" t="s">
        <v>9</v>
      </c>
      <c r="K69" s="7" t="s">
        <v>10</v>
      </c>
      <c r="L69" s="7" t="s">
        <v>11</v>
      </c>
      <c r="M69" s="7" t="s">
        <v>12</v>
      </c>
      <c r="N69" s="7" t="s">
        <v>13</v>
      </c>
      <c r="O69" s="6" t="s">
        <v>581</v>
      </c>
      <c r="P69" s="6" t="s">
        <v>15</v>
      </c>
      <c r="Q69" s="6" t="s">
        <v>16</v>
      </c>
      <c r="R69" s="6" t="s">
        <v>17</v>
      </c>
      <c r="S69" s="90"/>
      <c r="T69" s="91" t="s">
        <v>1141</v>
      </c>
      <c r="U69" s="91" t="s">
        <v>1120</v>
      </c>
      <c r="V69" s="91" t="s">
        <v>1142</v>
      </c>
      <c r="W69" s="91" t="s">
        <v>1143</v>
      </c>
      <c r="X69" s="91" t="s">
        <v>1144</v>
      </c>
      <c r="Y69" s="98" t="s">
        <v>1151</v>
      </c>
    </row>
    <row r="70" spans="1:25">
      <c r="A70">
        <f>'附件4 规划外'!A226</f>
        <v>240</v>
      </c>
      <c r="B70" t="str">
        <f>'附件4 规划外'!B226</f>
        <v>尉氏县闹张线路面大修工程（新增）</v>
      </c>
      <c r="C70" t="str">
        <f>'附件4 规划外'!C226</f>
        <v>其他</v>
      </c>
      <c r="D70" t="str">
        <f>'附件4 规划外'!D226</f>
        <v>施工总里程10.0公里，路面宽9.0米，二级公路，沥青混凝土路面。</v>
      </c>
      <c r="E70">
        <f>'附件4 规划外'!E226</f>
        <v>1941.8</v>
      </c>
      <c r="F70">
        <f>'附件4 规划外'!F226</f>
        <v>0</v>
      </c>
      <c r="G70">
        <f>'附件4 规划外'!G226</f>
        <v>1941.8</v>
      </c>
      <c r="H70">
        <f>'附件4 规划外'!H226</f>
        <v>0</v>
      </c>
      <c r="I70" t="str">
        <f>'附件4 规划外'!I226</f>
        <v>在建</v>
      </c>
      <c r="J70">
        <f>'附件4 规划外'!J226</f>
        <v>1690</v>
      </c>
      <c r="K70">
        <f>'附件4 规划外'!K226</f>
        <v>1420</v>
      </c>
      <c r="L70" t="str">
        <f>'附件4 规划外'!L226</f>
        <v>在建</v>
      </c>
      <c r="M70">
        <f>'附件4 规划外'!M226</f>
        <v>44713</v>
      </c>
      <c r="N70">
        <f>'附件4 规划外'!N226</f>
        <v>44805</v>
      </c>
      <c r="O70" t="str">
        <f>'附件4 规划外'!O226</f>
        <v>市交通运输局</v>
      </c>
      <c r="P70" t="str">
        <f>'附件4 规划外'!P226</f>
        <v>尉氏县</v>
      </c>
      <c r="Q70">
        <f>'附件4 规划外'!Q226</f>
        <v>0</v>
      </c>
      <c r="S70" s="90" t="s">
        <v>1146</v>
      </c>
      <c r="T70" s="91">
        <f>COUNT(A70:A71)</f>
        <v>1</v>
      </c>
      <c r="U70" s="101">
        <f>SUM(E70)</f>
        <v>1941.8</v>
      </c>
      <c r="V70" s="101">
        <f>COUNTIF(I70:I71,"在建")+COUNTIF(I70:I71,"完工")</f>
        <v>1</v>
      </c>
      <c r="W70" s="101">
        <f>COUNTIF(I70:I71,"完工")</f>
        <v>0</v>
      </c>
      <c r="X70" s="91">
        <f>SUM(J70:J71)</f>
        <v>1690</v>
      </c>
      <c r="Y70" s="99">
        <f>IF(U70=0,"-",ROUND(X70/U70,3))</f>
        <v>0.87</v>
      </c>
    </row>
    <row r="71" ht="27" spans="19:25">
      <c r="S71" s="90" t="s">
        <v>1148</v>
      </c>
      <c r="T71" s="91">
        <f>COUNTIF(G70:G71,"&gt;0")</f>
        <v>1</v>
      </c>
      <c r="U71" s="101">
        <f>SUM(G70)</f>
        <v>1941.8</v>
      </c>
      <c r="V71" s="101">
        <f>COUNTIFS(G70:G71,"&gt;0",I70:I71,"完工")+COUNTIFS(G70:G71,"&gt;0",I70:I71,"在建")</f>
        <v>1</v>
      </c>
      <c r="W71" s="101">
        <f>COUNTIFS(G70:G71,"&gt;0",I70:I71,"完工")</f>
        <v>0</v>
      </c>
      <c r="X71" s="91">
        <f>SUM(K70:K71)</f>
        <v>1420</v>
      </c>
      <c r="Y71" s="99">
        <f>IF(U71=0,"-",ROUND(X71/U71,3))</f>
        <v>0.731</v>
      </c>
    </row>
  </sheetData>
  <mergeCells count="23">
    <mergeCell ref="A1:G1"/>
    <mergeCell ref="H1:N1"/>
    <mergeCell ref="O1:U1"/>
    <mergeCell ref="V1:AB1"/>
    <mergeCell ref="A5:R5"/>
    <mergeCell ref="S5:Y5"/>
    <mergeCell ref="S17:Y17"/>
    <mergeCell ref="A28:R28"/>
    <mergeCell ref="S28:Y28"/>
    <mergeCell ref="A36:R36"/>
    <mergeCell ref="S36:Y36"/>
    <mergeCell ref="A42:R42"/>
    <mergeCell ref="S42:Y42"/>
    <mergeCell ref="A47:R47"/>
    <mergeCell ref="S47:Y47"/>
    <mergeCell ref="A52:R52"/>
    <mergeCell ref="S52:Y52"/>
    <mergeCell ref="A58:R58"/>
    <mergeCell ref="S58:Y58"/>
    <mergeCell ref="A63:R63"/>
    <mergeCell ref="S63:Y63"/>
    <mergeCell ref="A68:R68"/>
    <mergeCell ref="S68:Y68"/>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1"/>
  <sheetViews>
    <sheetView topLeftCell="A16" workbookViewId="0">
      <selection activeCell="Q22" sqref="Q22"/>
    </sheetView>
  </sheetViews>
  <sheetFormatPr defaultColWidth="9" defaultRowHeight="13.5"/>
  <cols>
    <col min="4" max="4" width="9.36666666666667" customWidth="1"/>
    <col min="7" max="7" width="10.725" customWidth="1"/>
    <col min="14" max="14" width="10.0916666666667" customWidth="1"/>
  </cols>
  <sheetData>
    <row r="1" ht="22.5" spans="1:18">
      <c r="A1" s="47" t="s">
        <v>1170</v>
      </c>
      <c r="B1" s="47"/>
      <c r="C1" s="47"/>
      <c r="D1" s="47"/>
      <c r="E1" s="47"/>
      <c r="F1" s="47"/>
      <c r="G1" s="47"/>
      <c r="H1" s="47"/>
      <c r="I1" s="47"/>
      <c r="J1" s="47"/>
      <c r="K1" s="47"/>
      <c r="L1" s="47"/>
      <c r="M1" s="47"/>
      <c r="N1" s="47"/>
      <c r="O1" s="47"/>
      <c r="P1" s="47"/>
      <c r="Q1" s="47"/>
      <c r="R1" s="47"/>
    </row>
    <row r="2" spans="1:18">
      <c r="A2" s="48" t="s">
        <v>1096</v>
      </c>
      <c r="B2" s="48"/>
      <c r="C2" s="48"/>
      <c r="D2" s="49"/>
      <c r="E2" s="49"/>
      <c r="F2" s="50" t="s">
        <v>1171</v>
      </c>
      <c r="G2" s="50"/>
      <c r="H2" s="50" t="s">
        <v>1172</v>
      </c>
      <c r="I2" s="50"/>
      <c r="J2" s="50"/>
      <c r="K2" s="50" t="s">
        <v>1099</v>
      </c>
      <c r="L2" s="50"/>
      <c r="M2" s="50"/>
      <c r="N2" s="50"/>
      <c r="O2" s="50"/>
      <c r="P2" s="50"/>
      <c r="Q2" s="50"/>
      <c r="R2" s="81"/>
    </row>
    <row r="3" spans="1:18">
      <c r="A3" s="51" t="s">
        <v>0</v>
      </c>
      <c r="B3" s="51" t="s">
        <v>1123</v>
      </c>
      <c r="C3" s="52" t="s">
        <v>1101</v>
      </c>
      <c r="D3" s="53"/>
      <c r="E3" s="53"/>
      <c r="F3" s="53"/>
      <c r="G3" s="53"/>
      <c r="H3" s="54" t="s">
        <v>1102</v>
      </c>
      <c r="I3" s="54"/>
      <c r="J3" s="54"/>
      <c r="K3" s="54"/>
      <c r="L3" s="54"/>
      <c r="M3" s="54" t="s">
        <v>1103</v>
      </c>
      <c r="N3" s="54"/>
      <c r="O3" s="54"/>
      <c r="P3" s="54"/>
      <c r="Q3" s="54"/>
      <c r="R3" s="82" t="s">
        <v>17</v>
      </c>
    </row>
    <row r="4" ht="14" customHeight="1" spans="1:18">
      <c r="A4" s="55"/>
      <c r="B4" s="55"/>
      <c r="C4" s="56" t="s">
        <v>1129</v>
      </c>
      <c r="D4" s="57"/>
      <c r="E4" s="56" t="s">
        <v>1130</v>
      </c>
      <c r="F4" s="56"/>
      <c r="G4" s="56"/>
      <c r="H4" s="56" t="s">
        <v>1129</v>
      </c>
      <c r="I4" s="57"/>
      <c r="J4" s="56" t="s">
        <v>1130</v>
      </c>
      <c r="K4" s="56"/>
      <c r="L4" s="56"/>
      <c r="M4" s="56" t="s">
        <v>1129</v>
      </c>
      <c r="N4" s="57"/>
      <c r="O4" s="56" t="s">
        <v>1130</v>
      </c>
      <c r="P4" s="56"/>
      <c r="Q4" s="56"/>
      <c r="R4" s="83"/>
    </row>
    <row r="5" ht="36" spans="1:18">
      <c r="A5" s="58"/>
      <c r="B5" s="58"/>
      <c r="C5" s="56" t="s">
        <v>1117</v>
      </c>
      <c r="D5" s="56" t="s">
        <v>1118</v>
      </c>
      <c r="E5" s="56" t="s">
        <v>1133</v>
      </c>
      <c r="F5" s="56" t="s">
        <v>1134</v>
      </c>
      <c r="G5" s="56" t="s">
        <v>1135</v>
      </c>
      <c r="H5" s="56" t="s">
        <v>1117</v>
      </c>
      <c r="I5" s="56" t="s">
        <v>1118</v>
      </c>
      <c r="J5" s="56" t="s">
        <v>1133</v>
      </c>
      <c r="K5" s="56" t="s">
        <v>1134</v>
      </c>
      <c r="L5" s="56" t="s">
        <v>1135</v>
      </c>
      <c r="M5" s="56" t="s">
        <v>1117</v>
      </c>
      <c r="N5" s="56" t="s">
        <v>1118</v>
      </c>
      <c r="O5" s="56" t="s">
        <v>1133</v>
      </c>
      <c r="P5" s="56" t="s">
        <v>1134</v>
      </c>
      <c r="Q5" s="56" t="s">
        <v>1135</v>
      </c>
      <c r="R5" s="84"/>
    </row>
    <row r="6" spans="1:18">
      <c r="A6" s="59"/>
      <c r="B6" s="60" t="s">
        <v>1121</v>
      </c>
      <c r="C6" s="61">
        <f t="shared" ref="C6" si="0">SUM(C7:C22)</f>
        <v>472</v>
      </c>
      <c r="D6" s="61" t="e">
        <f t="shared" ref="D6" si="1">SUM(D7:D22)</f>
        <v>#REF!</v>
      </c>
      <c r="E6" s="61">
        <f t="shared" ref="E6" si="2">SUM(E7:E22)</f>
        <v>474</v>
      </c>
      <c r="F6" s="61">
        <f t="shared" ref="F6" si="3">SUM(F7:F22)</f>
        <v>379</v>
      </c>
      <c r="G6" s="61" t="e">
        <f t="shared" ref="G6" si="4">SUM(G7:G22)</f>
        <v>#REF!</v>
      </c>
      <c r="H6" s="62">
        <f t="shared" ref="H6" si="5">SUM(H7:H22)</f>
        <v>235</v>
      </c>
      <c r="I6" s="62">
        <f t="shared" ref="I6" si="6">SUM(I7:I22)</f>
        <v>237948.7849</v>
      </c>
      <c r="J6" s="62">
        <f t="shared" ref="J6" si="7">SUM(J7:J22)</f>
        <v>235</v>
      </c>
      <c r="K6" s="62">
        <f t="shared" ref="K6" si="8">SUM(K7:K22)</f>
        <v>210</v>
      </c>
      <c r="L6" s="62">
        <f t="shared" ref="L6" si="9">SUM(L7:L22)</f>
        <v>210970.9308</v>
      </c>
      <c r="M6" s="74">
        <f t="shared" ref="M6" si="10">SUM(M7:M22)</f>
        <v>237</v>
      </c>
      <c r="N6" s="74" t="e">
        <f t="shared" ref="N6" si="11">SUM(N7:N22)</f>
        <v>#REF!</v>
      </c>
      <c r="O6" s="74">
        <f t="shared" ref="O6" si="12">SUM(O7:O22)</f>
        <v>239</v>
      </c>
      <c r="P6" s="74">
        <f t="shared" ref="P6" si="13">SUM(P7:P22)</f>
        <v>169</v>
      </c>
      <c r="Q6" s="74" t="e">
        <f t="shared" ref="Q6" si="14">SUM(Q7:Q22)</f>
        <v>#REF!</v>
      </c>
      <c r="R6" s="85"/>
    </row>
    <row r="7" spans="1:18">
      <c r="A7" s="59">
        <v>1</v>
      </c>
      <c r="B7" s="63" t="s">
        <v>55</v>
      </c>
      <c r="C7" s="64">
        <f>H7+M7</f>
        <v>56</v>
      </c>
      <c r="D7" s="64">
        <f t="shared" ref="D7:D22" si="15">I7+N7</f>
        <v>119417.07</v>
      </c>
      <c r="E7" s="64">
        <f t="shared" ref="E7:E14" si="16">J7+O7</f>
        <v>56</v>
      </c>
      <c r="F7" s="64">
        <f t="shared" ref="F7:F22" si="17">K7+P7</f>
        <v>50</v>
      </c>
      <c r="G7" s="64">
        <f t="shared" ref="G7:G22" si="18">L7+Q7</f>
        <v>113969</v>
      </c>
      <c r="H7" s="65">
        <f>水利!I3</f>
        <v>40</v>
      </c>
      <c r="I7" s="65">
        <f>水利!J3</f>
        <v>10754</v>
      </c>
      <c r="J7" s="65">
        <f>水利!K3</f>
        <v>40</v>
      </c>
      <c r="K7" s="65">
        <f>水利!L3</f>
        <v>39</v>
      </c>
      <c r="L7" s="65">
        <f>水利!M3</f>
        <v>10600</v>
      </c>
      <c r="M7" s="75">
        <f>水利!P3</f>
        <v>16</v>
      </c>
      <c r="N7" s="75">
        <f>水利!Q3</f>
        <v>108663.07</v>
      </c>
      <c r="O7" s="75">
        <f>水利!R3</f>
        <v>16</v>
      </c>
      <c r="P7" s="75">
        <f>水利!S3</f>
        <v>11</v>
      </c>
      <c r="Q7" s="75">
        <f>水利!T3</f>
        <v>103369</v>
      </c>
      <c r="R7" s="86"/>
    </row>
    <row r="8" spans="1:18">
      <c r="A8" s="59">
        <v>2</v>
      </c>
      <c r="B8" s="63" t="s">
        <v>1173</v>
      </c>
      <c r="C8" s="64">
        <f t="shared" ref="C8:C14" si="19">H8+M8</f>
        <v>21</v>
      </c>
      <c r="D8" s="64">
        <f t="shared" si="15"/>
        <v>123750.1</v>
      </c>
      <c r="E8" s="64">
        <f t="shared" si="16"/>
        <v>21</v>
      </c>
      <c r="F8" s="64">
        <f t="shared" si="17"/>
        <v>15</v>
      </c>
      <c r="G8" s="64">
        <f t="shared" si="18"/>
        <v>104149.1</v>
      </c>
      <c r="H8" s="66">
        <f>农业!I3+林业!I3</f>
        <v>14</v>
      </c>
      <c r="I8" s="66">
        <f>农业!J3+林业!J3</f>
        <v>120353.9</v>
      </c>
      <c r="J8" s="66">
        <f>农业!K3+林业!K3</f>
        <v>14</v>
      </c>
      <c r="K8" s="66">
        <f>农业!L3+林业!L3</f>
        <v>8</v>
      </c>
      <c r="L8" s="66">
        <f>农业!M3+林业!M3</f>
        <v>100752.9</v>
      </c>
      <c r="M8" s="76">
        <f>农业!P3+林业!P3</f>
        <v>7</v>
      </c>
      <c r="N8" s="76">
        <f>农业!Q3+林业!Q3</f>
        <v>3396.2</v>
      </c>
      <c r="O8" s="76">
        <f>农业!R3+林业!R3</f>
        <v>7</v>
      </c>
      <c r="P8" s="76">
        <f>农业!S3+林业!S3</f>
        <v>7</v>
      </c>
      <c r="Q8" s="76">
        <f>农业!T3+林业!T3</f>
        <v>3396.2</v>
      </c>
      <c r="R8" s="86"/>
    </row>
    <row r="9" spans="1:18">
      <c r="A9" s="59">
        <v>3</v>
      </c>
      <c r="B9" s="63" t="s">
        <v>129</v>
      </c>
      <c r="C9" s="64">
        <f t="shared" si="19"/>
        <v>64</v>
      </c>
      <c r="D9" s="64" t="e">
        <f t="shared" si="15"/>
        <v>#REF!</v>
      </c>
      <c r="E9" s="64">
        <f t="shared" si="16"/>
        <v>64</v>
      </c>
      <c r="F9" s="64">
        <f t="shared" si="17"/>
        <v>50</v>
      </c>
      <c r="G9" s="64" t="e">
        <f t="shared" si="18"/>
        <v>#REF!</v>
      </c>
      <c r="H9" s="66">
        <f>交通!I3</f>
        <v>41</v>
      </c>
      <c r="I9" s="66">
        <f>交通!J3</f>
        <v>61065.586</v>
      </c>
      <c r="J9" s="66">
        <f>交通!K3</f>
        <v>41</v>
      </c>
      <c r="K9" s="66">
        <f>交通!L3</f>
        <v>33</v>
      </c>
      <c r="L9" s="66">
        <f>交通!M3</f>
        <v>55010.586</v>
      </c>
      <c r="M9" s="76">
        <f>交通!P3</f>
        <v>23</v>
      </c>
      <c r="N9" s="76" t="e">
        <f>交通!Q3</f>
        <v>#REF!</v>
      </c>
      <c r="O9" s="76">
        <f>交通!R3</f>
        <v>23</v>
      </c>
      <c r="P9" s="76">
        <f>交通!S3</f>
        <v>17</v>
      </c>
      <c r="Q9" s="76" t="e">
        <f>交通!T3</f>
        <v>#REF!</v>
      </c>
      <c r="R9" s="86"/>
    </row>
    <row r="10" spans="1:18">
      <c r="A10" s="59">
        <v>4</v>
      </c>
      <c r="B10" s="63" t="s">
        <v>421</v>
      </c>
      <c r="C10" s="64">
        <f t="shared" si="19"/>
        <v>2</v>
      </c>
      <c r="D10" s="64">
        <f t="shared" si="15"/>
        <v>342.73</v>
      </c>
      <c r="E10" s="64">
        <f t="shared" si="16"/>
        <v>2</v>
      </c>
      <c r="F10" s="64">
        <f t="shared" si="17"/>
        <v>2</v>
      </c>
      <c r="G10" s="64">
        <f t="shared" si="18"/>
        <v>342.73</v>
      </c>
      <c r="H10" s="66">
        <f>教育!I3</f>
        <v>2</v>
      </c>
      <c r="I10" s="66">
        <f>教育!J3</f>
        <v>342.73</v>
      </c>
      <c r="J10" s="66">
        <f>教育!K3</f>
        <v>2</v>
      </c>
      <c r="K10" s="66">
        <f>教育!L3</f>
        <v>2</v>
      </c>
      <c r="L10" s="66">
        <f>教育!M3</f>
        <v>342.73</v>
      </c>
      <c r="M10" s="76">
        <f>教育!P3</f>
        <v>0</v>
      </c>
      <c r="N10" s="76">
        <f>教育!Q3</f>
        <v>0</v>
      </c>
      <c r="O10" s="76">
        <f>教育!R3</f>
        <v>0</v>
      </c>
      <c r="P10" s="76">
        <f>教育!S3</f>
        <v>0</v>
      </c>
      <c r="Q10" s="76">
        <f>教育!T3</f>
        <v>0</v>
      </c>
      <c r="R10" s="86"/>
    </row>
    <row r="11" spans="1:18">
      <c r="A11" s="59">
        <v>5</v>
      </c>
      <c r="B11" s="63" t="s">
        <v>461</v>
      </c>
      <c r="C11" s="64">
        <f t="shared" si="19"/>
        <v>23</v>
      </c>
      <c r="D11" s="64">
        <f t="shared" si="15"/>
        <v>136082.3</v>
      </c>
      <c r="E11" s="64">
        <f t="shared" si="16"/>
        <v>23</v>
      </c>
      <c r="F11" s="64">
        <f t="shared" si="17"/>
        <v>5</v>
      </c>
      <c r="G11" s="64">
        <f t="shared" si="18"/>
        <v>105014.5</v>
      </c>
      <c r="H11" s="66">
        <f>卫生!I3</f>
        <v>11</v>
      </c>
      <c r="I11" s="66">
        <f>卫生!J3</f>
        <v>13241.9</v>
      </c>
      <c r="J11" s="66">
        <f>卫生!K3</f>
        <v>11</v>
      </c>
      <c r="K11" s="66">
        <f>卫生!L3</f>
        <v>3</v>
      </c>
      <c r="L11" s="66">
        <f>卫生!M3</f>
        <v>12212.5</v>
      </c>
      <c r="M11" s="76">
        <f>卫生!P3</f>
        <v>12</v>
      </c>
      <c r="N11" s="76">
        <f>卫生!Q3</f>
        <v>122840.4</v>
      </c>
      <c r="O11" s="76">
        <f>卫生!R3</f>
        <v>12</v>
      </c>
      <c r="P11" s="76">
        <f>卫生!S3</f>
        <v>2</v>
      </c>
      <c r="Q11" s="76">
        <f>卫生!T3</f>
        <v>92802</v>
      </c>
      <c r="R11" s="86"/>
    </row>
    <row r="12" spans="1:18">
      <c r="A12" s="59">
        <v>6</v>
      </c>
      <c r="B12" s="63" t="s">
        <v>1125</v>
      </c>
      <c r="C12" s="64">
        <f t="shared" si="19"/>
        <v>8</v>
      </c>
      <c r="D12" s="64">
        <f t="shared" si="15"/>
        <v>3989.8789</v>
      </c>
      <c r="E12" s="64">
        <f t="shared" si="16"/>
        <v>8</v>
      </c>
      <c r="F12" s="64">
        <f t="shared" si="17"/>
        <v>8</v>
      </c>
      <c r="G12" s="64">
        <f t="shared" si="18"/>
        <v>3989.8789</v>
      </c>
      <c r="H12" s="66">
        <f>住房!I3</f>
        <v>8</v>
      </c>
      <c r="I12" s="66">
        <f>住房!J3</f>
        <v>3989.8789</v>
      </c>
      <c r="J12" s="66">
        <f>住房!K3</f>
        <v>8</v>
      </c>
      <c r="K12" s="66">
        <f>住房!L3</f>
        <v>8</v>
      </c>
      <c r="L12" s="66">
        <f>住房!M3</f>
        <v>3989.8789</v>
      </c>
      <c r="M12" s="76">
        <f>住房!P3</f>
        <v>0</v>
      </c>
      <c r="N12" s="76">
        <f>住房!Q3</f>
        <v>0</v>
      </c>
      <c r="O12" s="76">
        <f>住房!R3</f>
        <v>0</v>
      </c>
      <c r="P12" s="76">
        <f>住房!S3</f>
        <v>0</v>
      </c>
      <c r="Q12" s="76">
        <f>住房!T3</f>
        <v>0</v>
      </c>
      <c r="R12" s="85"/>
    </row>
    <row r="13" spans="1:18">
      <c r="A13" s="59">
        <v>7</v>
      </c>
      <c r="B13" s="63" t="s">
        <v>558</v>
      </c>
      <c r="C13" s="64">
        <f t="shared" si="19"/>
        <v>50</v>
      </c>
      <c r="D13" s="64">
        <f t="shared" si="15"/>
        <v>638136.588</v>
      </c>
      <c r="E13" s="64">
        <f t="shared" si="16"/>
        <v>50</v>
      </c>
      <c r="F13" s="64">
        <f t="shared" si="17"/>
        <v>26</v>
      </c>
      <c r="G13" s="64">
        <f t="shared" si="18"/>
        <v>548427.388</v>
      </c>
      <c r="H13" s="66">
        <f>市政!I3</f>
        <v>2</v>
      </c>
      <c r="I13" s="66">
        <f>市政!J3</f>
        <v>7928</v>
      </c>
      <c r="J13" s="66">
        <f>市政!K3</f>
        <v>2</v>
      </c>
      <c r="K13" s="66">
        <f>市政!L3</f>
        <v>2</v>
      </c>
      <c r="L13" s="66">
        <f>市政!M3</f>
        <v>7928</v>
      </c>
      <c r="M13" s="76">
        <f>市政!P3</f>
        <v>48</v>
      </c>
      <c r="N13" s="76">
        <f>市政!Q3</f>
        <v>630208.588</v>
      </c>
      <c r="O13" s="76">
        <f>市政!R3</f>
        <v>48</v>
      </c>
      <c r="P13" s="76">
        <f>市政!S3</f>
        <v>24</v>
      </c>
      <c r="Q13" s="76">
        <f>市政!T3</f>
        <v>540499.388</v>
      </c>
      <c r="R13" s="86"/>
    </row>
    <row r="14" spans="1:18">
      <c r="A14" s="59">
        <v>8</v>
      </c>
      <c r="B14" s="63" t="s">
        <v>488</v>
      </c>
      <c r="C14" s="64">
        <f t="shared" si="19"/>
        <v>7</v>
      </c>
      <c r="D14" s="64">
        <f t="shared" si="15"/>
        <v>679</v>
      </c>
      <c r="E14" s="64">
        <f t="shared" si="16"/>
        <v>7</v>
      </c>
      <c r="F14" s="64">
        <f t="shared" si="17"/>
        <v>6</v>
      </c>
      <c r="G14" s="64">
        <f t="shared" si="18"/>
        <v>672.6759</v>
      </c>
      <c r="H14" s="66">
        <f>文化!I3</f>
        <v>6</v>
      </c>
      <c r="I14" s="66">
        <f>文化!J3</f>
        <v>356</v>
      </c>
      <c r="J14" s="66">
        <f>文化!K3</f>
        <v>6</v>
      </c>
      <c r="K14" s="66">
        <f>文化!L3</f>
        <v>5</v>
      </c>
      <c r="L14" s="66">
        <f>文化!M3</f>
        <v>349.6759</v>
      </c>
      <c r="M14" s="76">
        <f>文化!P3</f>
        <v>1</v>
      </c>
      <c r="N14" s="76">
        <f>文化!Q3</f>
        <v>323</v>
      </c>
      <c r="O14" s="76">
        <f>文化!R3</f>
        <v>1</v>
      </c>
      <c r="P14" s="76">
        <f>文化!S3</f>
        <v>1</v>
      </c>
      <c r="Q14" s="76">
        <f>文化!T3</f>
        <v>323</v>
      </c>
      <c r="R14" s="86"/>
    </row>
    <row r="15" spans="1:18">
      <c r="A15" s="59">
        <v>9</v>
      </c>
      <c r="B15" s="63" t="s">
        <v>1174</v>
      </c>
      <c r="C15" s="64">
        <f t="shared" ref="C15:C22" si="20">H15+M15</f>
        <v>0</v>
      </c>
      <c r="D15" s="64">
        <f t="shared" si="15"/>
        <v>1</v>
      </c>
      <c r="E15" s="64">
        <f t="shared" ref="E15:E22" si="21">J15+O15</f>
        <v>2</v>
      </c>
      <c r="F15" s="64">
        <f t="shared" si="17"/>
        <v>3</v>
      </c>
      <c r="G15" s="64">
        <f t="shared" si="18"/>
        <v>4</v>
      </c>
      <c r="H15" s="66">
        <v>0</v>
      </c>
      <c r="I15" s="66">
        <v>0</v>
      </c>
      <c r="J15" s="66">
        <v>0</v>
      </c>
      <c r="K15" s="66">
        <v>0</v>
      </c>
      <c r="L15" s="66">
        <v>0</v>
      </c>
      <c r="M15" s="76">
        <v>0</v>
      </c>
      <c r="N15" s="76">
        <v>1</v>
      </c>
      <c r="O15" s="76">
        <v>2</v>
      </c>
      <c r="P15" s="76">
        <v>3</v>
      </c>
      <c r="Q15" s="76">
        <v>4</v>
      </c>
      <c r="R15" s="86"/>
    </row>
    <row r="16" spans="1:18">
      <c r="A16" s="59">
        <v>10</v>
      </c>
      <c r="B16" s="63" t="s">
        <v>851</v>
      </c>
      <c r="C16" s="64">
        <f t="shared" si="20"/>
        <v>1</v>
      </c>
      <c r="D16" s="64">
        <f t="shared" si="15"/>
        <v>6000</v>
      </c>
      <c r="E16" s="64">
        <f t="shared" si="21"/>
        <v>1</v>
      </c>
      <c r="F16" s="64">
        <f t="shared" si="17"/>
        <v>0</v>
      </c>
      <c r="G16" s="64">
        <f t="shared" si="18"/>
        <v>423</v>
      </c>
      <c r="H16" s="66">
        <f>文物!I3</f>
        <v>0</v>
      </c>
      <c r="I16" s="66">
        <f>文物!J3</f>
        <v>0</v>
      </c>
      <c r="J16" s="66">
        <f>文物!K3</f>
        <v>0</v>
      </c>
      <c r="K16" s="66">
        <f>文物!L3</f>
        <v>0</v>
      </c>
      <c r="L16" s="66">
        <f>文物!M3</f>
        <v>0</v>
      </c>
      <c r="M16" s="76">
        <f>文物!P3</f>
        <v>1</v>
      </c>
      <c r="N16" s="76">
        <f>文物!Q3</f>
        <v>6000</v>
      </c>
      <c r="O16" s="76">
        <f>文物!R3</f>
        <v>1</v>
      </c>
      <c r="P16" s="76">
        <f>文物!S3</f>
        <v>0</v>
      </c>
      <c r="Q16" s="76">
        <f>文物!T3</f>
        <v>423</v>
      </c>
      <c r="R16" s="86"/>
    </row>
    <row r="17" spans="1:18">
      <c r="A17" s="59">
        <v>11</v>
      </c>
      <c r="B17" s="63" t="s">
        <v>1126</v>
      </c>
      <c r="C17" s="64">
        <f t="shared" si="20"/>
        <v>2</v>
      </c>
      <c r="D17" s="64">
        <f t="shared" si="15"/>
        <v>17183.31</v>
      </c>
      <c r="E17" s="64">
        <f t="shared" si="21"/>
        <v>2</v>
      </c>
      <c r="F17" s="64">
        <f t="shared" si="17"/>
        <v>2</v>
      </c>
      <c r="G17" s="64">
        <f t="shared" si="18"/>
        <v>17183.31</v>
      </c>
      <c r="H17" s="66">
        <f>应急!I3</f>
        <v>2</v>
      </c>
      <c r="I17" s="66">
        <f>应急!J3</f>
        <v>17183.31</v>
      </c>
      <c r="J17" s="66">
        <f>应急!K3</f>
        <v>2</v>
      </c>
      <c r="K17" s="66">
        <f>应急!L3</f>
        <v>2</v>
      </c>
      <c r="L17" s="66">
        <f>应急!M3</f>
        <v>17183.31</v>
      </c>
      <c r="M17" s="76">
        <f>应急!P3</f>
        <v>0</v>
      </c>
      <c r="N17" s="76">
        <f>应急!Q3</f>
        <v>0</v>
      </c>
      <c r="O17" s="76">
        <f>应急!R3</f>
        <v>0</v>
      </c>
      <c r="P17" s="76">
        <f>应急!S3</f>
        <v>0</v>
      </c>
      <c r="Q17" s="76">
        <f>应急!T3</f>
        <v>0</v>
      </c>
      <c r="R17" s="86"/>
    </row>
    <row r="18" spans="1:18">
      <c r="A18" s="59">
        <v>12</v>
      </c>
      <c r="B18" s="63" t="s">
        <v>223</v>
      </c>
      <c r="C18" s="64">
        <f t="shared" si="20"/>
        <v>110</v>
      </c>
      <c r="D18" s="64">
        <f t="shared" si="15"/>
        <v>2157.24</v>
      </c>
      <c r="E18" s="64">
        <f t="shared" si="21"/>
        <v>110</v>
      </c>
      <c r="F18" s="64">
        <f t="shared" si="17"/>
        <v>110</v>
      </c>
      <c r="G18" s="64">
        <f t="shared" si="18"/>
        <v>2157.24</v>
      </c>
      <c r="H18" s="66">
        <f>乡村振兴!I3</f>
        <v>99</v>
      </c>
      <c r="I18" s="66">
        <f>乡村振兴!J3</f>
        <v>2150.18</v>
      </c>
      <c r="J18" s="66">
        <f>乡村振兴!K3</f>
        <v>99</v>
      </c>
      <c r="K18" s="66">
        <f>乡村振兴!L3</f>
        <v>99</v>
      </c>
      <c r="L18" s="66">
        <f>乡村振兴!M3</f>
        <v>2150.18</v>
      </c>
      <c r="M18" s="76">
        <f>乡村振兴!P3</f>
        <v>11</v>
      </c>
      <c r="N18" s="76">
        <f>乡村振兴!Q3</f>
        <v>7.06</v>
      </c>
      <c r="O18" s="76">
        <f>乡村振兴!R3</f>
        <v>11</v>
      </c>
      <c r="P18" s="76">
        <f>乡村振兴!S3</f>
        <v>11</v>
      </c>
      <c r="Q18" s="76">
        <f>乡村振兴!T3</f>
        <v>7.06</v>
      </c>
      <c r="R18" s="67"/>
    </row>
    <row r="19" spans="1:18">
      <c r="A19" s="59">
        <v>13</v>
      </c>
      <c r="B19" s="63" t="s">
        <v>413</v>
      </c>
      <c r="C19" s="64">
        <f t="shared" si="20"/>
        <v>13</v>
      </c>
      <c r="D19" s="64">
        <f t="shared" si="15"/>
        <v>52917.26</v>
      </c>
      <c r="E19" s="64">
        <f t="shared" si="21"/>
        <v>13</v>
      </c>
      <c r="F19" s="64">
        <f t="shared" si="17"/>
        <v>6</v>
      </c>
      <c r="G19" s="64">
        <f t="shared" si="18"/>
        <v>50525.13</v>
      </c>
      <c r="H19" s="66">
        <f>民政!I3</f>
        <v>2</v>
      </c>
      <c r="I19" s="66">
        <f>民政!J3</f>
        <v>500</v>
      </c>
      <c r="J19" s="66">
        <f>民政!K3</f>
        <v>2</v>
      </c>
      <c r="K19" s="66">
        <f>民政!L3</f>
        <v>1</v>
      </c>
      <c r="L19" s="66">
        <f>民政!M3</f>
        <v>367.87</v>
      </c>
      <c r="M19" s="76">
        <f>民政!P3</f>
        <v>11</v>
      </c>
      <c r="N19" s="76">
        <f>民政!Q3</f>
        <v>52417.26</v>
      </c>
      <c r="O19" s="76">
        <f>民政!R3</f>
        <v>11</v>
      </c>
      <c r="P19" s="76">
        <f>民政!S3</f>
        <v>5</v>
      </c>
      <c r="Q19" s="76">
        <f>民政!T3</f>
        <v>50157.26</v>
      </c>
      <c r="R19" s="86"/>
    </row>
    <row r="20" spans="1:18">
      <c r="A20" s="59">
        <v>14</v>
      </c>
      <c r="B20" s="63" t="s">
        <v>215</v>
      </c>
      <c r="C20" s="64">
        <f t="shared" si="20"/>
        <v>8</v>
      </c>
      <c r="D20" s="64">
        <f t="shared" si="15"/>
        <v>83.3</v>
      </c>
      <c r="E20" s="64">
        <f t="shared" si="21"/>
        <v>8</v>
      </c>
      <c r="F20" s="64">
        <f t="shared" si="17"/>
        <v>8</v>
      </c>
      <c r="G20" s="64">
        <f t="shared" si="18"/>
        <v>83.3</v>
      </c>
      <c r="H20" s="66">
        <f>能源!I3</f>
        <v>8</v>
      </c>
      <c r="I20" s="66">
        <f>能源!J3</f>
        <v>83.3</v>
      </c>
      <c r="J20" s="66">
        <f>能源!K3</f>
        <v>8</v>
      </c>
      <c r="K20" s="66">
        <f>能源!L3</f>
        <v>8</v>
      </c>
      <c r="L20" s="66">
        <f>能源!M3</f>
        <v>83.3</v>
      </c>
      <c r="M20" s="76">
        <f>能源!P3</f>
        <v>0</v>
      </c>
      <c r="N20" s="76">
        <f>能源!Q3</f>
        <v>0</v>
      </c>
      <c r="O20" s="76">
        <f>能源!R3</f>
        <v>0</v>
      </c>
      <c r="P20" s="76">
        <f>能源!S3</f>
        <v>0</v>
      </c>
      <c r="Q20" s="76">
        <f>能源!T3</f>
        <v>0</v>
      </c>
      <c r="R20" s="86"/>
    </row>
    <row r="21" spans="1:18">
      <c r="A21" s="59">
        <v>15</v>
      </c>
      <c r="B21" s="63" t="s">
        <v>880</v>
      </c>
      <c r="C21" s="64">
        <f t="shared" si="20"/>
        <v>72</v>
      </c>
      <c r="D21" s="64">
        <f t="shared" si="15"/>
        <v>1832.1002</v>
      </c>
      <c r="E21" s="64">
        <f t="shared" si="21"/>
        <v>72</v>
      </c>
      <c r="F21" s="64">
        <f t="shared" si="17"/>
        <v>72</v>
      </c>
      <c r="G21" s="64">
        <f t="shared" si="18"/>
        <v>1832.1002</v>
      </c>
      <c r="H21" s="66">
        <f>产业!I3</f>
        <v>0</v>
      </c>
      <c r="I21" s="66">
        <f>产业!J3</f>
        <v>0</v>
      </c>
      <c r="J21" s="66">
        <f>产业!K3</f>
        <v>0</v>
      </c>
      <c r="K21" s="66">
        <f>产业!L3</f>
        <v>0</v>
      </c>
      <c r="L21" s="66">
        <f>产业!M3</f>
        <v>0</v>
      </c>
      <c r="M21" s="76">
        <f>产业!P3</f>
        <v>72</v>
      </c>
      <c r="N21" s="76">
        <f>产业!Q3</f>
        <v>1832.1002</v>
      </c>
      <c r="O21" s="76">
        <f>产业!R3</f>
        <v>72</v>
      </c>
      <c r="P21" s="76">
        <f>产业!S3</f>
        <v>72</v>
      </c>
      <c r="Q21" s="76">
        <f>产业!T3</f>
        <v>1832.1002</v>
      </c>
      <c r="R21" s="87"/>
    </row>
    <row r="22" spans="1:18">
      <c r="A22" s="59">
        <v>16</v>
      </c>
      <c r="B22" s="67" t="s">
        <v>1035</v>
      </c>
      <c r="C22" s="64">
        <f t="shared" si="20"/>
        <v>35</v>
      </c>
      <c r="D22" s="64">
        <f t="shared" si="15"/>
        <v>80303.08</v>
      </c>
      <c r="E22" s="64">
        <f t="shared" si="21"/>
        <v>35</v>
      </c>
      <c r="F22" s="64">
        <f t="shared" si="17"/>
        <v>16</v>
      </c>
      <c r="G22" s="64" t="e">
        <f t="shared" si="18"/>
        <v>#REF!</v>
      </c>
      <c r="H22" s="66">
        <f>粮食!I3+生态!I3+商超!I3</f>
        <v>0</v>
      </c>
      <c r="I22" s="66">
        <f>粮食!J3+生态!J3+商超!J3</f>
        <v>0</v>
      </c>
      <c r="J22" s="66">
        <f>粮食!K3+生态!K3+商超!K3</f>
        <v>0</v>
      </c>
      <c r="K22" s="66">
        <f>粮食!L3+生态!L3+商超!L3</f>
        <v>0</v>
      </c>
      <c r="L22" s="66">
        <f>粮食!M3+生态!M3+商超!M3</f>
        <v>0</v>
      </c>
      <c r="M22" s="76">
        <f>粮食!P3+生态!P3+商超!P3+其他省报!B3</f>
        <v>35</v>
      </c>
      <c r="N22" s="76">
        <f>粮食!Q3+生态!Q3+商超!Q3+其他省报!C3</f>
        <v>80303.08</v>
      </c>
      <c r="O22" s="76">
        <f>粮食!R3+生态!R3+商超!R3+其他省报!D3</f>
        <v>35</v>
      </c>
      <c r="P22" s="76">
        <f>粮食!S3+生态!S3+商超!S3+其他省报!E3</f>
        <v>16</v>
      </c>
      <c r="Q22" s="76" t="e">
        <f>粮食!T3+生态!T3+商超!T3+其他省报!F3</f>
        <v>#REF!</v>
      </c>
      <c r="R22" s="86"/>
    </row>
    <row r="23" ht="41.5" customHeight="1" spans="1:18">
      <c r="A23" s="68" t="s">
        <v>1175</v>
      </c>
      <c r="B23" s="69"/>
      <c r="C23" s="69"/>
      <c r="D23" s="69"/>
      <c r="E23" s="69"/>
      <c r="F23" s="69"/>
      <c r="G23" s="69"/>
      <c r="H23" s="69"/>
      <c r="I23" s="69"/>
      <c r="J23" s="69"/>
      <c r="K23" s="69"/>
      <c r="L23" s="69"/>
      <c r="M23" s="69"/>
      <c r="N23" s="69"/>
      <c r="O23" s="69"/>
      <c r="P23" s="69"/>
      <c r="Q23" s="69"/>
      <c r="R23" s="88"/>
    </row>
    <row r="27" ht="22.5" spans="1:18">
      <c r="A27" s="47" t="s">
        <v>1176</v>
      </c>
      <c r="B27" s="47"/>
      <c r="C27" s="47"/>
      <c r="D27" s="47"/>
      <c r="E27" s="47"/>
      <c r="F27" s="47"/>
      <c r="G27" s="47"/>
      <c r="H27" s="47"/>
      <c r="I27" s="47"/>
      <c r="J27" s="47"/>
      <c r="K27" s="47"/>
      <c r="L27" s="47"/>
      <c r="M27" s="47"/>
      <c r="N27" s="47"/>
      <c r="O27" s="47"/>
      <c r="P27" s="47"/>
      <c r="Q27" s="47"/>
      <c r="R27" s="47"/>
    </row>
    <row r="28" spans="1:18">
      <c r="A28" s="48" t="s">
        <v>1096</v>
      </c>
      <c r="B28" s="48"/>
      <c r="C28" s="48"/>
      <c r="D28" s="49"/>
      <c r="E28" s="49"/>
      <c r="F28" s="50" t="s">
        <v>1171</v>
      </c>
      <c r="G28" s="50"/>
      <c r="H28" s="50" t="s">
        <v>1172</v>
      </c>
      <c r="I28" s="50"/>
      <c r="J28" s="50"/>
      <c r="K28" s="50" t="s">
        <v>1099</v>
      </c>
      <c r="L28" s="50"/>
      <c r="M28" s="50"/>
      <c r="N28" s="50"/>
      <c r="O28" s="50"/>
      <c r="P28" s="50"/>
      <c r="Q28" s="50"/>
      <c r="R28" s="81"/>
    </row>
    <row r="29" spans="1:18">
      <c r="A29" s="51" t="s">
        <v>0</v>
      </c>
      <c r="B29" s="51" t="s">
        <v>1123</v>
      </c>
      <c r="C29" s="52" t="s">
        <v>1101</v>
      </c>
      <c r="D29" s="53"/>
      <c r="E29" s="53"/>
      <c r="F29" s="53"/>
      <c r="G29" s="53"/>
      <c r="H29" s="70" t="s">
        <v>1102</v>
      </c>
      <c r="I29" s="70"/>
      <c r="J29" s="70"/>
      <c r="K29" s="70"/>
      <c r="L29" s="70"/>
      <c r="M29" s="77" t="s">
        <v>1103</v>
      </c>
      <c r="N29" s="77"/>
      <c r="O29" s="77"/>
      <c r="P29" s="77"/>
      <c r="Q29" s="77"/>
      <c r="R29" s="82" t="s">
        <v>17</v>
      </c>
    </row>
    <row r="30" spans="1:18">
      <c r="A30" s="55"/>
      <c r="B30" s="55"/>
      <c r="C30" s="56" t="s">
        <v>1106</v>
      </c>
      <c r="D30" s="57"/>
      <c r="E30" s="56" t="s">
        <v>1107</v>
      </c>
      <c r="F30" s="56"/>
      <c r="G30" s="56"/>
      <c r="H30" s="71" t="s">
        <v>1106</v>
      </c>
      <c r="I30" s="78"/>
      <c r="J30" s="71" t="s">
        <v>1107</v>
      </c>
      <c r="K30" s="71"/>
      <c r="L30" s="71"/>
      <c r="M30" s="79" t="s">
        <v>1106</v>
      </c>
      <c r="N30" s="80"/>
      <c r="O30" s="79" t="s">
        <v>1107</v>
      </c>
      <c r="P30" s="79"/>
      <c r="Q30" s="79"/>
      <c r="R30" s="83"/>
    </row>
    <row r="31" ht="48" spans="1:18">
      <c r="A31" s="58"/>
      <c r="B31" s="58"/>
      <c r="C31" s="56" t="s">
        <v>1111</v>
      </c>
      <c r="D31" s="56" t="s">
        <v>1112</v>
      </c>
      <c r="E31" s="56" t="s">
        <v>1113</v>
      </c>
      <c r="F31" s="56" t="s">
        <v>1114</v>
      </c>
      <c r="G31" s="56" t="s">
        <v>1115</v>
      </c>
      <c r="H31" s="71" t="s">
        <v>1111</v>
      </c>
      <c r="I31" s="71" t="s">
        <v>1112</v>
      </c>
      <c r="J31" s="71" t="s">
        <v>1113</v>
      </c>
      <c r="K31" s="71" t="s">
        <v>1114</v>
      </c>
      <c r="L31" s="71" t="s">
        <v>1115</v>
      </c>
      <c r="M31" s="79" t="s">
        <v>1111</v>
      </c>
      <c r="N31" s="79" t="s">
        <v>1112</v>
      </c>
      <c r="O31" s="79" t="s">
        <v>1113</v>
      </c>
      <c r="P31" s="79" t="s">
        <v>1114</v>
      </c>
      <c r="Q31" s="79" t="s">
        <v>1115</v>
      </c>
      <c r="R31" s="84"/>
    </row>
    <row r="32" spans="1:18">
      <c r="A32" s="59"/>
      <c r="B32" s="60" t="s">
        <v>1121</v>
      </c>
      <c r="C32" s="61">
        <f t="shared" ref="C32:Q32" si="22">SUM(C33:C48)</f>
        <v>223</v>
      </c>
      <c r="D32" s="61" t="e">
        <f t="shared" si="22"/>
        <v>#REF!</v>
      </c>
      <c r="E32" s="61">
        <f t="shared" si="22"/>
        <v>223</v>
      </c>
      <c r="F32" s="61">
        <f t="shared" si="22"/>
        <v>127</v>
      </c>
      <c r="G32" s="61" t="e">
        <f t="shared" si="22"/>
        <v>#REF!</v>
      </c>
      <c r="H32" s="62">
        <f t="shared" si="22"/>
        <v>100</v>
      </c>
      <c r="I32" s="62">
        <f t="shared" si="22"/>
        <v>179194.821972</v>
      </c>
      <c r="J32" s="62">
        <f t="shared" si="22"/>
        <v>100</v>
      </c>
      <c r="K32" s="62">
        <f t="shared" si="22"/>
        <v>75</v>
      </c>
      <c r="L32" s="62">
        <f t="shared" si="22"/>
        <v>172942.807872</v>
      </c>
      <c r="M32" s="74">
        <f t="shared" si="22"/>
        <v>123</v>
      </c>
      <c r="N32" s="74" t="e">
        <f t="shared" si="22"/>
        <v>#REF!</v>
      </c>
      <c r="O32" s="74">
        <f t="shared" si="22"/>
        <v>123</v>
      </c>
      <c r="P32" s="74">
        <f t="shared" si="22"/>
        <v>52</v>
      </c>
      <c r="Q32" s="74" t="e">
        <f t="shared" si="22"/>
        <v>#REF!</v>
      </c>
      <c r="R32" s="85"/>
    </row>
    <row r="33" spans="1:18">
      <c r="A33" s="59">
        <v>1</v>
      </c>
      <c r="B33" s="63" t="s">
        <v>55</v>
      </c>
      <c r="C33" s="64">
        <f>H33+M33</f>
        <v>39</v>
      </c>
      <c r="D33" s="64">
        <f t="shared" ref="D33:G33" si="23">I33+N33</f>
        <v>107416.57</v>
      </c>
      <c r="E33" s="64">
        <f t="shared" si="23"/>
        <v>39</v>
      </c>
      <c r="F33" s="64">
        <f t="shared" si="23"/>
        <v>33</v>
      </c>
      <c r="G33" s="64">
        <f t="shared" si="23"/>
        <v>101968.5</v>
      </c>
      <c r="H33" s="65">
        <f>水利!I4</f>
        <v>30</v>
      </c>
      <c r="I33" s="65">
        <f>水利!J4</f>
        <v>10246.5</v>
      </c>
      <c r="J33" s="65">
        <f>水利!K4</f>
        <v>30</v>
      </c>
      <c r="K33" s="65">
        <f>水利!L4</f>
        <v>29</v>
      </c>
      <c r="L33" s="65">
        <f>水利!M4</f>
        <v>10092.5</v>
      </c>
      <c r="M33" s="75">
        <f>水利!P4</f>
        <v>9</v>
      </c>
      <c r="N33" s="75">
        <f>水利!Q4</f>
        <v>97170.07</v>
      </c>
      <c r="O33" s="75">
        <f>水利!R4</f>
        <v>9</v>
      </c>
      <c r="P33" s="75">
        <f>水利!S4</f>
        <v>4</v>
      </c>
      <c r="Q33" s="75">
        <f>水利!T4</f>
        <v>91876</v>
      </c>
      <c r="R33" s="86"/>
    </row>
    <row r="34" spans="1:18">
      <c r="A34" s="59">
        <v>2</v>
      </c>
      <c r="B34" s="63" t="s">
        <v>1173</v>
      </c>
      <c r="C34" s="64">
        <f t="shared" ref="C34:C48" si="24">H34+M34</f>
        <v>14</v>
      </c>
      <c r="D34" s="64">
        <f t="shared" ref="D34:D48" si="25">I34+N34</f>
        <v>95109.85</v>
      </c>
      <c r="E34" s="64">
        <f t="shared" ref="E34:E48" si="26">J34+O34</f>
        <v>14</v>
      </c>
      <c r="F34" s="64">
        <f t="shared" ref="F34:F48" si="27">K34+P34</f>
        <v>8</v>
      </c>
      <c r="G34" s="64">
        <f t="shared" ref="G34:G48" si="28">L34+Q34</f>
        <v>96234.69</v>
      </c>
      <c r="H34" s="66">
        <f>农业!I4+林业!I4</f>
        <v>9</v>
      </c>
      <c r="I34" s="66">
        <f>农业!J4+林业!J4</f>
        <v>94097.65</v>
      </c>
      <c r="J34" s="66">
        <f>农业!K4+林业!K4</f>
        <v>9</v>
      </c>
      <c r="K34" s="66">
        <f>农业!L4+林业!L4</f>
        <v>3</v>
      </c>
      <c r="L34" s="66">
        <f>农业!M4+林业!M4</f>
        <v>95222.49</v>
      </c>
      <c r="M34" s="76">
        <f>农业!P4+林业!P4</f>
        <v>5</v>
      </c>
      <c r="N34" s="76">
        <f>农业!Q4+林业!Q4</f>
        <v>1012.2</v>
      </c>
      <c r="O34" s="76">
        <f>农业!R4+林业!R4</f>
        <v>5</v>
      </c>
      <c r="P34" s="76">
        <f>农业!S4+林业!S4</f>
        <v>5</v>
      </c>
      <c r="Q34" s="76">
        <f>农业!T4+林业!T4</f>
        <v>1012.2</v>
      </c>
      <c r="R34" s="86"/>
    </row>
    <row r="35" spans="1:18">
      <c r="A35" s="59">
        <v>3</v>
      </c>
      <c r="B35" s="63" t="s">
        <v>129</v>
      </c>
      <c r="C35" s="64">
        <f t="shared" si="24"/>
        <v>51</v>
      </c>
      <c r="D35" s="64" t="e">
        <f t="shared" si="25"/>
        <v>#REF!</v>
      </c>
      <c r="E35" s="64">
        <f t="shared" si="26"/>
        <v>51</v>
      </c>
      <c r="F35" s="64">
        <f t="shared" si="27"/>
        <v>37</v>
      </c>
      <c r="G35" s="64" t="e">
        <f t="shared" si="28"/>
        <v>#REF!</v>
      </c>
      <c r="H35" s="66">
        <f>交通!I4</f>
        <v>34</v>
      </c>
      <c r="I35" s="66">
        <f>交通!J4</f>
        <v>48280.246</v>
      </c>
      <c r="J35" s="66">
        <f>交通!K4</f>
        <v>34</v>
      </c>
      <c r="K35" s="66">
        <f>交通!L4</f>
        <v>26</v>
      </c>
      <c r="L35" s="66">
        <f>交通!M4</f>
        <v>42225.246</v>
      </c>
      <c r="M35" s="76">
        <f>交通!P4</f>
        <v>17</v>
      </c>
      <c r="N35" s="76" t="e">
        <f>交通!Q4</f>
        <v>#REF!</v>
      </c>
      <c r="O35" s="76">
        <f>交通!R4</f>
        <v>17</v>
      </c>
      <c r="P35" s="76">
        <f>交通!S4</f>
        <v>11</v>
      </c>
      <c r="Q35" s="76" t="e">
        <f>交通!T4</f>
        <v>#REF!</v>
      </c>
      <c r="R35" s="86"/>
    </row>
    <row r="36" spans="1:18">
      <c r="A36" s="59">
        <v>4</v>
      </c>
      <c r="B36" s="63" t="s">
        <v>421</v>
      </c>
      <c r="C36" s="64">
        <f t="shared" si="24"/>
        <v>0</v>
      </c>
      <c r="D36" s="64">
        <f t="shared" si="25"/>
        <v>0</v>
      </c>
      <c r="E36" s="64">
        <f t="shared" si="26"/>
        <v>0</v>
      </c>
      <c r="F36" s="64">
        <f t="shared" si="27"/>
        <v>0</v>
      </c>
      <c r="G36" s="64">
        <f t="shared" si="28"/>
        <v>0</v>
      </c>
      <c r="H36" s="66">
        <f>教育!I4</f>
        <v>0</v>
      </c>
      <c r="I36" s="66">
        <f>教育!J4</f>
        <v>0</v>
      </c>
      <c r="J36" s="66">
        <f>教育!K4</f>
        <v>0</v>
      </c>
      <c r="K36" s="66">
        <f>教育!L4</f>
        <v>0</v>
      </c>
      <c r="L36" s="66">
        <f>教育!M4</f>
        <v>0</v>
      </c>
      <c r="M36" s="76">
        <f>教育!P4</f>
        <v>0</v>
      </c>
      <c r="N36" s="76">
        <f>教育!Q4</f>
        <v>0</v>
      </c>
      <c r="O36" s="76">
        <f>教育!R4</f>
        <v>0</v>
      </c>
      <c r="P36" s="76">
        <f>教育!S4</f>
        <v>0</v>
      </c>
      <c r="Q36" s="76">
        <f>教育!T4</f>
        <v>0</v>
      </c>
      <c r="R36" s="86"/>
    </row>
    <row r="37" spans="1:18">
      <c r="A37" s="59">
        <v>5</v>
      </c>
      <c r="B37" s="63" t="s">
        <v>461</v>
      </c>
      <c r="C37" s="64">
        <f t="shared" si="24"/>
        <v>20</v>
      </c>
      <c r="D37" s="64">
        <f t="shared" si="25"/>
        <v>62741.44</v>
      </c>
      <c r="E37" s="64">
        <f t="shared" si="26"/>
        <v>20</v>
      </c>
      <c r="F37" s="64">
        <f t="shared" si="27"/>
        <v>2</v>
      </c>
      <c r="G37" s="64">
        <f t="shared" si="28"/>
        <v>58773.04</v>
      </c>
      <c r="H37" s="66">
        <f>卫生!I4</f>
        <v>8</v>
      </c>
      <c r="I37" s="66">
        <f>卫生!J4</f>
        <v>11135.9</v>
      </c>
      <c r="J37" s="66">
        <f>卫生!K4</f>
        <v>8</v>
      </c>
      <c r="K37" s="66">
        <f>卫生!L4</f>
        <v>0</v>
      </c>
      <c r="L37" s="66">
        <f>卫生!M4</f>
        <v>10106.5</v>
      </c>
      <c r="M37" s="76">
        <f>卫生!P4</f>
        <v>12</v>
      </c>
      <c r="N37" s="76">
        <f>卫生!Q4</f>
        <v>51605.54</v>
      </c>
      <c r="O37" s="76">
        <f>卫生!R4</f>
        <v>12</v>
      </c>
      <c r="P37" s="76">
        <f>卫生!S4</f>
        <v>2</v>
      </c>
      <c r="Q37" s="76">
        <f>卫生!T4</f>
        <v>48666.54</v>
      </c>
      <c r="R37" s="86"/>
    </row>
    <row r="38" spans="1:18">
      <c r="A38" s="59">
        <v>6</v>
      </c>
      <c r="B38" s="63" t="s">
        <v>1125</v>
      </c>
      <c r="C38" s="64">
        <f t="shared" si="24"/>
        <v>1</v>
      </c>
      <c r="D38" s="64">
        <f t="shared" si="25"/>
        <v>743</v>
      </c>
      <c r="E38" s="64">
        <f t="shared" si="26"/>
        <v>1</v>
      </c>
      <c r="F38" s="64">
        <f t="shared" si="27"/>
        <v>1</v>
      </c>
      <c r="G38" s="64">
        <f t="shared" si="28"/>
        <v>743</v>
      </c>
      <c r="H38" s="66">
        <f>住房!I4</f>
        <v>1</v>
      </c>
      <c r="I38" s="66">
        <f>住房!J4</f>
        <v>743</v>
      </c>
      <c r="J38" s="66">
        <f>住房!K4</f>
        <v>1</v>
      </c>
      <c r="K38" s="66">
        <f>住房!L4</f>
        <v>1</v>
      </c>
      <c r="L38" s="66">
        <f>住房!M4</f>
        <v>743</v>
      </c>
      <c r="M38" s="76">
        <f>住房!P4</f>
        <v>0</v>
      </c>
      <c r="N38" s="76">
        <f>住房!Q4</f>
        <v>0</v>
      </c>
      <c r="O38" s="76">
        <f>住房!R4</f>
        <v>0</v>
      </c>
      <c r="P38" s="76">
        <f>住房!S4</f>
        <v>0</v>
      </c>
      <c r="Q38" s="76">
        <f>住房!T4</f>
        <v>0</v>
      </c>
      <c r="R38" s="85"/>
    </row>
    <row r="39" spans="1:18">
      <c r="A39" s="59">
        <v>7</v>
      </c>
      <c r="B39" s="63" t="s">
        <v>558</v>
      </c>
      <c r="C39" s="64">
        <f t="shared" si="24"/>
        <v>36</v>
      </c>
      <c r="D39" s="64">
        <f t="shared" si="25"/>
        <v>297017.188</v>
      </c>
      <c r="E39" s="64">
        <f t="shared" si="26"/>
        <v>36</v>
      </c>
      <c r="F39" s="64">
        <f t="shared" si="27"/>
        <v>12</v>
      </c>
      <c r="G39" s="64">
        <f t="shared" si="28"/>
        <v>302253.388</v>
      </c>
      <c r="H39" s="66">
        <f>市政!I4</f>
        <v>1</v>
      </c>
      <c r="I39" s="66">
        <f>市政!J4</f>
        <v>4668</v>
      </c>
      <c r="J39" s="66">
        <f>市政!K4</f>
        <v>1</v>
      </c>
      <c r="K39" s="66">
        <f>市政!L4</f>
        <v>1</v>
      </c>
      <c r="L39" s="66">
        <f>市政!M4</f>
        <v>4668</v>
      </c>
      <c r="M39" s="76">
        <f>市政!P4</f>
        <v>35</v>
      </c>
      <c r="N39" s="76">
        <f>市政!Q4</f>
        <v>292349.188</v>
      </c>
      <c r="O39" s="76">
        <f>市政!R4</f>
        <v>35</v>
      </c>
      <c r="P39" s="76">
        <f>市政!S4</f>
        <v>11</v>
      </c>
      <c r="Q39" s="76">
        <f>市政!T4</f>
        <v>297585.388</v>
      </c>
      <c r="R39" s="86"/>
    </row>
    <row r="40" spans="1:18">
      <c r="A40" s="59">
        <v>8</v>
      </c>
      <c r="B40" s="63" t="s">
        <v>488</v>
      </c>
      <c r="C40" s="64">
        <f t="shared" si="24"/>
        <v>7</v>
      </c>
      <c r="D40" s="64">
        <f t="shared" si="25"/>
        <v>630.647</v>
      </c>
      <c r="E40" s="64">
        <f t="shared" si="26"/>
        <v>7</v>
      </c>
      <c r="F40" s="64">
        <f t="shared" si="27"/>
        <v>6</v>
      </c>
      <c r="G40" s="64">
        <f t="shared" si="28"/>
        <v>624.3229</v>
      </c>
      <c r="H40" s="66">
        <f>文化!I4</f>
        <v>6</v>
      </c>
      <c r="I40" s="66">
        <f>文化!J4</f>
        <v>307.647</v>
      </c>
      <c r="J40" s="66">
        <f>文化!K4</f>
        <v>6</v>
      </c>
      <c r="K40" s="66">
        <f>文化!L4</f>
        <v>5</v>
      </c>
      <c r="L40" s="66">
        <f>文化!M4</f>
        <v>301.3229</v>
      </c>
      <c r="M40" s="76">
        <f>文化!P4</f>
        <v>1</v>
      </c>
      <c r="N40" s="76">
        <f>文化!Q4</f>
        <v>323</v>
      </c>
      <c r="O40" s="76">
        <f>文化!R4</f>
        <v>1</v>
      </c>
      <c r="P40" s="76">
        <f>文化!S4</f>
        <v>1</v>
      </c>
      <c r="Q40" s="76">
        <f>文化!T4</f>
        <v>323</v>
      </c>
      <c r="R40" s="86"/>
    </row>
    <row r="41" spans="1:18">
      <c r="A41" s="59">
        <v>9</v>
      </c>
      <c r="B41" s="63" t="s">
        <v>1174</v>
      </c>
      <c r="C41" s="64">
        <f t="shared" si="24"/>
        <v>0</v>
      </c>
      <c r="D41" s="64">
        <f t="shared" si="25"/>
        <v>0</v>
      </c>
      <c r="E41" s="64">
        <f t="shared" si="26"/>
        <v>0</v>
      </c>
      <c r="F41" s="64">
        <f t="shared" si="27"/>
        <v>0</v>
      </c>
      <c r="G41" s="64">
        <f t="shared" si="28"/>
        <v>0</v>
      </c>
      <c r="H41" s="66">
        <v>0</v>
      </c>
      <c r="I41" s="66">
        <v>0</v>
      </c>
      <c r="J41" s="66">
        <v>0</v>
      </c>
      <c r="K41" s="66">
        <v>0</v>
      </c>
      <c r="L41" s="66">
        <v>0</v>
      </c>
      <c r="M41" s="76">
        <v>0</v>
      </c>
      <c r="N41" s="76">
        <v>0</v>
      </c>
      <c r="O41" s="76">
        <v>0</v>
      </c>
      <c r="P41" s="76">
        <v>0</v>
      </c>
      <c r="Q41" s="76">
        <v>0</v>
      </c>
      <c r="R41" s="86"/>
    </row>
    <row r="42" spans="1:18">
      <c r="A42" s="59">
        <v>10</v>
      </c>
      <c r="B42" s="63" t="s">
        <v>851</v>
      </c>
      <c r="C42" s="64">
        <f t="shared" si="24"/>
        <v>1</v>
      </c>
      <c r="D42" s="64">
        <f t="shared" si="25"/>
        <v>300</v>
      </c>
      <c r="E42" s="64">
        <f t="shared" si="26"/>
        <v>1</v>
      </c>
      <c r="F42" s="64">
        <f t="shared" si="27"/>
        <v>0</v>
      </c>
      <c r="G42" s="64">
        <f t="shared" si="28"/>
        <v>423</v>
      </c>
      <c r="H42" s="66">
        <f>文物!I4</f>
        <v>0</v>
      </c>
      <c r="I42" s="66">
        <f>文物!J4</f>
        <v>0</v>
      </c>
      <c r="J42" s="66">
        <f>文物!K4</f>
        <v>0</v>
      </c>
      <c r="K42" s="66">
        <f>文物!L4</f>
        <v>0</v>
      </c>
      <c r="L42" s="66">
        <f>文物!M4</f>
        <v>0</v>
      </c>
      <c r="M42" s="76">
        <f>文物!P4</f>
        <v>1</v>
      </c>
      <c r="N42" s="76">
        <f>文物!Q4</f>
        <v>300</v>
      </c>
      <c r="O42" s="76">
        <f>文物!R4</f>
        <v>1</v>
      </c>
      <c r="P42" s="76">
        <f>文物!S4</f>
        <v>0</v>
      </c>
      <c r="Q42" s="76">
        <f>文物!T4</f>
        <v>423</v>
      </c>
      <c r="R42" s="86"/>
    </row>
    <row r="43" spans="1:18">
      <c r="A43" s="59">
        <v>11</v>
      </c>
      <c r="B43" s="63" t="s">
        <v>1126</v>
      </c>
      <c r="C43" s="64">
        <f t="shared" si="24"/>
        <v>2</v>
      </c>
      <c r="D43" s="64">
        <f t="shared" si="25"/>
        <v>8183.31</v>
      </c>
      <c r="E43" s="64">
        <f t="shared" si="26"/>
        <v>2</v>
      </c>
      <c r="F43" s="64">
        <f t="shared" si="27"/>
        <v>2</v>
      </c>
      <c r="G43" s="64">
        <f t="shared" si="28"/>
        <v>8183.31</v>
      </c>
      <c r="H43" s="66">
        <f>应急!I4</f>
        <v>2</v>
      </c>
      <c r="I43" s="66">
        <f>应急!J4</f>
        <v>8183.31</v>
      </c>
      <c r="J43" s="66">
        <f>应急!K4</f>
        <v>2</v>
      </c>
      <c r="K43" s="66">
        <f>应急!L4</f>
        <v>2</v>
      </c>
      <c r="L43" s="66">
        <f>应急!M4</f>
        <v>8183.31</v>
      </c>
      <c r="M43" s="76">
        <f>应急!P4</f>
        <v>0</v>
      </c>
      <c r="N43" s="76">
        <f>应急!Q4</f>
        <v>0</v>
      </c>
      <c r="O43" s="76">
        <f>应急!R4</f>
        <v>0</v>
      </c>
      <c r="P43" s="76">
        <f>应急!S4</f>
        <v>0</v>
      </c>
      <c r="Q43" s="76">
        <f>应急!T4</f>
        <v>0</v>
      </c>
      <c r="R43" s="86"/>
    </row>
    <row r="44" spans="1:18">
      <c r="A44" s="59">
        <v>12</v>
      </c>
      <c r="B44" s="63" t="s">
        <v>223</v>
      </c>
      <c r="C44" s="64">
        <f t="shared" si="24"/>
        <v>6</v>
      </c>
      <c r="D44" s="64">
        <f t="shared" si="25"/>
        <v>1132.568972</v>
      </c>
      <c r="E44" s="64">
        <f t="shared" si="26"/>
        <v>6</v>
      </c>
      <c r="F44" s="64">
        <f t="shared" si="27"/>
        <v>6</v>
      </c>
      <c r="G44" s="64">
        <f t="shared" si="28"/>
        <v>1132.568972</v>
      </c>
      <c r="H44" s="66">
        <f>乡村振兴!I4</f>
        <v>6</v>
      </c>
      <c r="I44" s="66">
        <f>乡村振兴!J4</f>
        <v>1132.568972</v>
      </c>
      <c r="J44" s="66">
        <f>乡村振兴!K4</f>
        <v>6</v>
      </c>
      <c r="K44" s="66">
        <f>乡村振兴!L4</f>
        <v>6</v>
      </c>
      <c r="L44" s="66">
        <f>乡村振兴!M4</f>
        <v>1132.568972</v>
      </c>
      <c r="M44" s="76">
        <f>乡村振兴!P4</f>
        <v>0</v>
      </c>
      <c r="N44" s="76">
        <f>乡村振兴!Q4</f>
        <v>0</v>
      </c>
      <c r="O44" s="76">
        <f>乡村振兴!R4</f>
        <v>0</v>
      </c>
      <c r="P44" s="76">
        <f>乡村振兴!S4</f>
        <v>0</v>
      </c>
      <c r="Q44" s="76">
        <f>乡村振兴!T4</f>
        <v>0</v>
      </c>
      <c r="R44" s="67"/>
    </row>
    <row r="45" spans="1:18">
      <c r="A45" s="59">
        <v>13</v>
      </c>
      <c r="B45" s="63" t="s">
        <v>413</v>
      </c>
      <c r="C45" s="64">
        <f t="shared" si="24"/>
        <v>12</v>
      </c>
      <c r="D45" s="64">
        <f t="shared" si="25"/>
        <v>48356.86</v>
      </c>
      <c r="E45" s="64">
        <f t="shared" si="26"/>
        <v>12</v>
      </c>
      <c r="F45" s="64">
        <f t="shared" si="27"/>
        <v>5</v>
      </c>
      <c r="G45" s="64">
        <f t="shared" si="28"/>
        <v>46464.73</v>
      </c>
      <c r="H45" s="66">
        <f>民政!I4</f>
        <v>2</v>
      </c>
      <c r="I45" s="66">
        <f>民政!J4</f>
        <v>390</v>
      </c>
      <c r="J45" s="66">
        <f>民政!K4</f>
        <v>2</v>
      </c>
      <c r="K45" s="66">
        <f>民政!L4</f>
        <v>1</v>
      </c>
      <c r="L45" s="66">
        <f>民政!M4</f>
        <v>257.87</v>
      </c>
      <c r="M45" s="76">
        <f>民政!P4</f>
        <v>10</v>
      </c>
      <c r="N45" s="76">
        <f>民政!Q4</f>
        <v>47966.86</v>
      </c>
      <c r="O45" s="76">
        <f>民政!R4</f>
        <v>10</v>
      </c>
      <c r="P45" s="76">
        <f>民政!S4</f>
        <v>4</v>
      </c>
      <c r="Q45" s="76">
        <f>民政!T4</f>
        <v>46206.86</v>
      </c>
      <c r="R45" s="86"/>
    </row>
    <row r="46" spans="1:18">
      <c r="A46" s="59">
        <v>14</v>
      </c>
      <c r="B46" s="63" t="s">
        <v>215</v>
      </c>
      <c r="C46" s="64">
        <f t="shared" si="24"/>
        <v>1</v>
      </c>
      <c r="D46" s="64">
        <f t="shared" si="25"/>
        <v>10</v>
      </c>
      <c r="E46" s="64">
        <f t="shared" si="26"/>
        <v>1</v>
      </c>
      <c r="F46" s="64">
        <f t="shared" si="27"/>
        <v>1</v>
      </c>
      <c r="G46" s="64">
        <f t="shared" si="28"/>
        <v>10</v>
      </c>
      <c r="H46" s="66">
        <f>能源!I4</f>
        <v>1</v>
      </c>
      <c r="I46" s="66">
        <f>能源!J4</f>
        <v>10</v>
      </c>
      <c r="J46" s="66">
        <f>能源!K4</f>
        <v>1</v>
      </c>
      <c r="K46" s="66">
        <f>能源!L4</f>
        <v>1</v>
      </c>
      <c r="L46" s="66">
        <f>能源!M4</f>
        <v>10</v>
      </c>
      <c r="M46" s="76">
        <f>能源!P4</f>
        <v>0</v>
      </c>
      <c r="N46" s="76">
        <f>能源!Q4</f>
        <v>0</v>
      </c>
      <c r="O46" s="76">
        <f>能源!R4</f>
        <v>0</v>
      </c>
      <c r="P46" s="76">
        <f>能源!S4</f>
        <v>0</v>
      </c>
      <c r="Q46" s="76">
        <f>能源!T4</f>
        <v>0</v>
      </c>
      <c r="R46" s="86"/>
    </row>
    <row r="47" spans="1:18">
      <c r="A47" s="59">
        <v>15</v>
      </c>
      <c r="B47" s="63" t="s">
        <v>880</v>
      </c>
      <c r="C47" s="64">
        <f t="shared" si="24"/>
        <v>0</v>
      </c>
      <c r="D47" s="64">
        <f t="shared" si="25"/>
        <v>0</v>
      </c>
      <c r="E47" s="64">
        <f t="shared" si="26"/>
        <v>0</v>
      </c>
      <c r="F47" s="64">
        <f t="shared" si="27"/>
        <v>0</v>
      </c>
      <c r="G47" s="64">
        <f t="shared" si="28"/>
        <v>0</v>
      </c>
      <c r="H47" s="66">
        <f>产业!I4</f>
        <v>0</v>
      </c>
      <c r="I47" s="66">
        <f>产业!J4</f>
        <v>0</v>
      </c>
      <c r="J47" s="66">
        <f>产业!K4</f>
        <v>0</v>
      </c>
      <c r="K47" s="66">
        <f>产业!L4</f>
        <v>0</v>
      </c>
      <c r="L47" s="66">
        <f>产业!M4</f>
        <v>0</v>
      </c>
      <c r="M47" s="76">
        <f>产业!P4</f>
        <v>0</v>
      </c>
      <c r="N47" s="76">
        <f>产业!Q4</f>
        <v>0</v>
      </c>
      <c r="O47" s="76">
        <f>产业!R4</f>
        <v>0</v>
      </c>
      <c r="P47" s="76">
        <f>产业!S4</f>
        <v>0</v>
      </c>
      <c r="Q47" s="76">
        <f>产业!T4</f>
        <v>0</v>
      </c>
      <c r="R47" s="87"/>
    </row>
    <row r="48" spans="1:18">
      <c r="A48" s="59">
        <v>16</v>
      </c>
      <c r="B48" s="67" t="s">
        <v>1035</v>
      </c>
      <c r="C48" s="64">
        <f t="shared" si="24"/>
        <v>33</v>
      </c>
      <c r="D48" s="64">
        <f t="shared" si="25"/>
        <v>67611.8</v>
      </c>
      <c r="E48" s="64">
        <f t="shared" si="26"/>
        <v>33</v>
      </c>
      <c r="F48" s="64">
        <f t="shared" si="27"/>
        <v>14</v>
      </c>
      <c r="G48" s="64" t="e">
        <f t="shared" si="28"/>
        <v>#REF!</v>
      </c>
      <c r="H48" s="66">
        <f>粮食!I4+生态!I4+商超!I4</f>
        <v>0</v>
      </c>
      <c r="I48" s="66">
        <f>粮食!J4+生态!J4+商超!J4</f>
        <v>0</v>
      </c>
      <c r="J48" s="66">
        <f>粮食!K4+生态!K4+商超!K4</f>
        <v>0</v>
      </c>
      <c r="K48" s="66">
        <f>粮食!L4+生态!L4+商超!L4</f>
        <v>0</v>
      </c>
      <c r="L48" s="66">
        <f>粮食!M4+生态!M4+商超!M4</f>
        <v>0</v>
      </c>
      <c r="M48" s="76">
        <f>粮食!P4+生态!P4+商超!P4+其他省报!B4</f>
        <v>33</v>
      </c>
      <c r="N48" s="76">
        <f>粮食!Q4+生态!Q4+商超!Q4+其他省报!C4</f>
        <v>67611.8</v>
      </c>
      <c r="O48" s="76">
        <f>粮食!R4+生态!R4+商超!R4+其他省报!D4</f>
        <v>33</v>
      </c>
      <c r="P48" s="76">
        <f>粮食!S4+生态!S4+商超!S4+其他省报!E4</f>
        <v>14</v>
      </c>
      <c r="Q48" s="76" t="e">
        <f>粮食!T4+生态!T4+商超!T4+其他省报!F4</f>
        <v>#REF!</v>
      </c>
      <c r="R48" s="86"/>
    </row>
    <row r="49" ht="45.5" customHeight="1" spans="1:18">
      <c r="A49" s="68" t="s">
        <v>1175</v>
      </c>
      <c r="B49" s="69"/>
      <c r="C49" s="69"/>
      <c r="D49" s="69"/>
      <c r="E49" s="69"/>
      <c r="F49" s="69"/>
      <c r="G49" s="69"/>
      <c r="H49" s="69"/>
      <c r="I49" s="69"/>
      <c r="J49" s="69"/>
      <c r="K49" s="69"/>
      <c r="L49" s="69"/>
      <c r="M49" s="69"/>
      <c r="N49" s="69"/>
      <c r="O49" s="69"/>
      <c r="P49" s="69"/>
      <c r="Q49" s="69"/>
      <c r="R49" s="88"/>
    </row>
    <row r="51" spans="7:17">
      <c r="G51" s="72" t="e">
        <f>G32/D32</f>
        <v>#REF!</v>
      </c>
      <c r="H51" s="73"/>
      <c r="I51" s="73"/>
      <c r="J51" s="73"/>
      <c r="K51" s="73"/>
      <c r="L51" s="72">
        <f>L32/I32</f>
        <v>0.965110520319739</v>
      </c>
      <c r="M51" s="73"/>
      <c r="N51" s="73"/>
      <c r="O51" s="73"/>
      <c r="P51" s="73"/>
      <c r="Q51" s="72" t="e">
        <f>Q32/N32</f>
        <v>#REF!</v>
      </c>
    </row>
  </sheetData>
  <mergeCells count="36">
    <mergeCell ref="A1:R1"/>
    <mergeCell ref="A2:C2"/>
    <mergeCell ref="F2:G2"/>
    <mergeCell ref="H2:J2"/>
    <mergeCell ref="K2:R2"/>
    <mergeCell ref="C3:G3"/>
    <mergeCell ref="H3:L3"/>
    <mergeCell ref="M3:Q3"/>
    <mergeCell ref="C4:D4"/>
    <mergeCell ref="E4:G4"/>
    <mergeCell ref="H4:I4"/>
    <mergeCell ref="J4:L4"/>
    <mergeCell ref="M4:N4"/>
    <mergeCell ref="O4:Q4"/>
    <mergeCell ref="A23:R23"/>
    <mergeCell ref="A27:R27"/>
    <mergeCell ref="A28:C28"/>
    <mergeCell ref="F28:G28"/>
    <mergeCell ref="H28:J28"/>
    <mergeCell ref="K28:R28"/>
    <mergeCell ref="C29:G29"/>
    <mergeCell ref="H29:L29"/>
    <mergeCell ref="M29:Q29"/>
    <mergeCell ref="C30:D30"/>
    <mergeCell ref="E30:G30"/>
    <mergeCell ref="H30:I30"/>
    <mergeCell ref="J30:L30"/>
    <mergeCell ref="M30:N30"/>
    <mergeCell ref="O30:Q30"/>
    <mergeCell ref="A49:R49"/>
    <mergeCell ref="A3:A5"/>
    <mergeCell ref="A29:A31"/>
    <mergeCell ref="B3:B5"/>
    <mergeCell ref="B29:B31"/>
    <mergeCell ref="R3:R5"/>
    <mergeCell ref="R29:R3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P11" sqref="P11"/>
    </sheetView>
  </sheetViews>
  <sheetFormatPr defaultColWidth="9" defaultRowHeight="13.5" outlineLevelCol="6"/>
  <sheetData>
    <row r="1" s="44" customFormat="1" ht="27" spans="1:7">
      <c r="A1" s="45" t="s">
        <v>0</v>
      </c>
      <c r="B1" s="45" t="s">
        <v>1177</v>
      </c>
      <c r="C1" s="45" t="s">
        <v>1178</v>
      </c>
      <c r="D1" s="45" t="s">
        <v>1179</v>
      </c>
      <c r="E1" s="45" t="s">
        <v>1180</v>
      </c>
      <c r="F1" s="45" t="s">
        <v>1181</v>
      </c>
      <c r="G1" s="45" t="s">
        <v>1182</v>
      </c>
    </row>
    <row r="2" spans="1:6">
      <c r="A2">
        <v>0</v>
      </c>
      <c r="B2" t="s">
        <v>1121</v>
      </c>
      <c r="C2" t="e">
        <f>'附件1 2022年度'!H6</f>
        <v>#REF!</v>
      </c>
      <c r="D2" t="e">
        <f>C2*100</f>
        <v>#REF!</v>
      </c>
      <c r="E2" s="46" t="s">
        <v>1183</v>
      </c>
      <c r="F2" s="46" t="s">
        <v>1184</v>
      </c>
    </row>
    <row r="3" spans="1:7">
      <c r="A3">
        <v>1</v>
      </c>
      <c r="B3" t="s">
        <v>132</v>
      </c>
      <c r="C3">
        <f>'附件1 2022年度'!H7</f>
        <v>0.896</v>
      </c>
      <c r="D3">
        <f t="shared" ref="D3:D12" si="0">C3*100</f>
        <v>89.6</v>
      </c>
      <c r="E3" s="46" t="s">
        <v>1183</v>
      </c>
      <c r="F3" s="46" t="s">
        <v>1184</v>
      </c>
      <c r="G3" t="str">
        <f>B3&amp;E3&amp;D3&amp;F3</f>
        <v>兰考县完成89.6%，</v>
      </c>
    </row>
    <row r="4" spans="1:7">
      <c r="A4">
        <v>2</v>
      </c>
      <c r="B4" t="s">
        <v>33</v>
      </c>
      <c r="C4">
        <f>'附件1 2022年度'!H8</f>
        <v>0.885</v>
      </c>
      <c r="D4">
        <f t="shared" si="0"/>
        <v>88.5</v>
      </c>
      <c r="E4" s="46" t="s">
        <v>1183</v>
      </c>
      <c r="F4" s="46" t="s">
        <v>1184</v>
      </c>
      <c r="G4" t="str">
        <f t="shared" ref="G4:G12" si="1">B4&amp;E4&amp;D4&amp;F4</f>
        <v>杞县完成88.5%，</v>
      </c>
    </row>
    <row r="5" spans="1:7">
      <c r="A5">
        <v>3</v>
      </c>
      <c r="B5" t="s">
        <v>36</v>
      </c>
      <c r="C5">
        <f>'附件1 2022年度'!H9</f>
        <v>0.873</v>
      </c>
      <c r="D5">
        <f t="shared" si="0"/>
        <v>87.3</v>
      </c>
      <c r="E5" s="46" t="s">
        <v>1183</v>
      </c>
      <c r="F5" s="46" t="s">
        <v>1184</v>
      </c>
      <c r="G5" t="str">
        <f t="shared" si="1"/>
        <v>通许县完成87.3%，</v>
      </c>
    </row>
    <row r="6" spans="1:7">
      <c r="A6">
        <v>4</v>
      </c>
      <c r="B6" t="s">
        <v>39</v>
      </c>
      <c r="C6">
        <f>'附件1 2022年度'!H10</f>
        <v>1.3</v>
      </c>
      <c r="D6">
        <f t="shared" si="0"/>
        <v>130</v>
      </c>
      <c r="E6" s="46" t="s">
        <v>1183</v>
      </c>
      <c r="F6" s="46" t="s">
        <v>1184</v>
      </c>
      <c r="G6" t="str">
        <f t="shared" si="1"/>
        <v>尉氏县完成130%，</v>
      </c>
    </row>
    <row r="7" spans="1:7">
      <c r="A7">
        <v>5</v>
      </c>
      <c r="B7" t="s">
        <v>42</v>
      </c>
      <c r="C7">
        <f>'附件1 2022年度'!H11</f>
        <v>1.056</v>
      </c>
      <c r="D7">
        <f t="shared" si="0"/>
        <v>105.6</v>
      </c>
      <c r="E7" s="46" t="s">
        <v>1183</v>
      </c>
      <c r="F7" s="46" t="s">
        <v>1184</v>
      </c>
      <c r="G7" t="str">
        <f t="shared" si="1"/>
        <v>祥符区完成105.6%，</v>
      </c>
    </row>
    <row r="8" spans="1:7">
      <c r="A8">
        <v>6</v>
      </c>
      <c r="B8" t="s">
        <v>140</v>
      </c>
      <c r="C8">
        <f>'附件1 2022年度'!H12</f>
        <v>0.893</v>
      </c>
      <c r="D8">
        <f t="shared" si="0"/>
        <v>89.3</v>
      </c>
      <c r="E8" s="46" t="s">
        <v>1183</v>
      </c>
      <c r="F8" s="46" t="s">
        <v>1184</v>
      </c>
      <c r="G8" t="str">
        <f t="shared" si="1"/>
        <v>城乡一体化示范区完成89.3%，</v>
      </c>
    </row>
    <row r="9" spans="1:7">
      <c r="A9">
        <v>7</v>
      </c>
      <c r="B9" t="s">
        <v>51</v>
      </c>
      <c r="C9" t="e">
        <f>'附件1 2022年度'!H14</f>
        <v>#REF!</v>
      </c>
      <c r="D9" t="e">
        <f t="shared" si="0"/>
        <v>#REF!</v>
      </c>
      <c r="E9" s="46" t="s">
        <v>1183</v>
      </c>
      <c r="F9" s="46" t="s">
        <v>1184</v>
      </c>
      <c r="G9" t="e">
        <f t="shared" si="1"/>
        <v>#REF!</v>
      </c>
    </row>
    <row r="10" spans="1:7">
      <c r="A10">
        <v>8</v>
      </c>
      <c r="B10" t="s">
        <v>48</v>
      </c>
      <c r="C10">
        <f>'附件1 2022年度'!H15</f>
        <v>0.974</v>
      </c>
      <c r="D10">
        <f t="shared" si="0"/>
        <v>97.4</v>
      </c>
      <c r="E10" s="46" t="s">
        <v>1183</v>
      </c>
      <c r="F10" s="46" t="s">
        <v>1184</v>
      </c>
      <c r="G10" t="str">
        <f t="shared" si="1"/>
        <v>顺河回族区完成97.4%，</v>
      </c>
    </row>
    <row r="11" spans="1:7">
      <c r="A11">
        <v>9</v>
      </c>
      <c r="B11" t="s">
        <v>45</v>
      </c>
      <c r="C11">
        <f>'附件1 2022年度'!H16</f>
        <v>0.493</v>
      </c>
      <c r="D11">
        <f t="shared" si="0"/>
        <v>49.3</v>
      </c>
      <c r="E11" s="46" t="s">
        <v>1183</v>
      </c>
      <c r="F11" s="46" t="s">
        <v>1184</v>
      </c>
      <c r="G11" t="str">
        <f t="shared" si="1"/>
        <v>禹王台区完成49.3%，</v>
      </c>
    </row>
    <row r="12" spans="1:7">
      <c r="A12">
        <v>10</v>
      </c>
      <c r="B12" t="s">
        <v>66</v>
      </c>
      <c r="C12">
        <f>'附件1 2022年度'!H17</f>
        <v>0.834</v>
      </c>
      <c r="D12">
        <f t="shared" si="0"/>
        <v>83.4</v>
      </c>
      <c r="E12" s="46" t="s">
        <v>1183</v>
      </c>
      <c r="F12" s="46" t="s">
        <v>1184</v>
      </c>
      <c r="G12" t="str">
        <f t="shared" si="1"/>
        <v>市本级完成83.4%，</v>
      </c>
    </row>
  </sheetData>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arrUserId title="区域3" rangeCreator="" othersAccessPermission="edit"/>
  </rangeList>
  <rangeList sheetStid="19" master="">
    <arrUserId title="区域1" rangeCreator="" othersAccessPermission="edit"/>
  </rangeList>
  <rangeList sheetStid="16" master=""/>
  <rangeList sheetStid="18" master=""/>
  <rangeList sheetStid="38" master=""/>
  <rangeList sheetStid="41" master=""/>
  <rangeList sheetStid="37" master=""/>
  <rangeList sheetStid="35" master=""/>
  <rangeList sheetStid="36" master=""/>
  <rangeList sheetStid="25" master=""/>
  <rangeList sheetStid="26" master=""/>
  <rangeList sheetStid="27" master=""/>
  <rangeList sheetStid="28" master=""/>
  <rangeList sheetStid="29" master=""/>
  <rangeList sheetStid="30" master=""/>
  <rangeList sheetStid="31" master=""/>
  <rangeList sheetStid="40" master=""/>
  <rangeList sheetStid="32" master=""/>
  <rangeList sheetStid="33" master=""/>
  <rangeList sheetStid="34" master=""/>
  <rangeList sheetStid="5" master=""/>
  <rangeList sheetStid="13" master=""/>
  <rangeList sheetStid="14" master=""/>
  <rangeList sheetStid="6" master=""/>
  <rangeList sheetStid="10" master=""/>
  <rangeList sheetStid="11" master=""/>
  <rangeList sheetStid="4" master=""/>
  <rangeList sheetStid="17" master=""/>
  <rangeList sheetStid="12" master=""/>
  <rangeList sheetStid="20" master=""/>
  <rangeList sheetStid="15" master=""/>
  <rangeList sheetStid="8" master=""/>
  <rangeList sheetStid="9" master=""/>
  <rangeList sheetStid="7" master=""/>
  <rangeList sheetStid="21" master=""/>
  <rangeList sheetStid="22" master=""/>
  <rangeList sheetStid="23" master=""/>
  <rangeList sheetStid="24"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附件3 规划内</vt:lpstr>
      <vt:lpstr>附件4 规划外</vt:lpstr>
      <vt:lpstr>附件1 2022年度</vt:lpstr>
      <vt:lpstr>附件2 总投资</vt:lpstr>
      <vt:lpstr>其他省报</vt:lpstr>
      <vt:lpstr>其他市报</vt:lpstr>
      <vt:lpstr>省报表</vt:lpstr>
      <vt:lpstr>出文-附件1县区</vt:lpstr>
      <vt:lpstr>出文-附件1行业</vt:lpstr>
      <vt:lpstr>兰考</vt:lpstr>
      <vt:lpstr>杞县</vt:lpstr>
      <vt:lpstr>通许</vt:lpstr>
      <vt:lpstr>尉氏</vt:lpstr>
      <vt:lpstr>祥符</vt:lpstr>
      <vt:lpstr>示范区</vt:lpstr>
      <vt:lpstr>龙亭</vt:lpstr>
      <vt:lpstr>鼓楼</vt:lpstr>
      <vt:lpstr>顺河</vt:lpstr>
      <vt:lpstr>禹王台</vt:lpstr>
      <vt:lpstr>市本级</vt:lpstr>
      <vt:lpstr>水利</vt:lpstr>
      <vt:lpstr>农业</vt:lpstr>
      <vt:lpstr>林业</vt:lpstr>
      <vt:lpstr>交通</vt:lpstr>
      <vt:lpstr>教育</vt:lpstr>
      <vt:lpstr>卫生</vt:lpstr>
      <vt:lpstr>住房</vt:lpstr>
      <vt:lpstr>市政</vt:lpstr>
      <vt:lpstr>文化</vt:lpstr>
      <vt:lpstr>文物</vt:lpstr>
      <vt:lpstr>应急</vt:lpstr>
      <vt:lpstr>乡村振兴</vt:lpstr>
      <vt:lpstr>民政</vt:lpstr>
      <vt:lpstr>能源</vt:lpstr>
      <vt:lpstr>产业</vt:lpstr>
      <vt:lpstr>粮食</vt:lpstr>
      <vt:lpstr>生态</vt:lpstr>
      <vt:lpstr>商超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迷路的信鸽</cp:lastModifiedBy>
  <dcterms:created xsi:type="dcterms:W3CDTF">2006-09-19T00:00:00Z</dcterms:created>
  <dcterms:modified xsi:type="dcterms:W3CDTF">2022-11-09T02:24:36Z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ACD6C0951C98451C84B814FD20BCC39D</vt:lpwstr>
  </property>
  <property fmtid="{D5CDD505-2E9C-101B-9397-08002B2CF9AE}" pid="3" name="KSOProductBuildVer">
    <vt:lpwstr>2052-11.1.0.12598</vt:lpwstr>
  </property>
  <property fmtid="{D5CDD505-2E9C-101B-9397-08002B2CF9AE}" pid="4" name="commondata">
    <vt:lpwstr>eyJoZGlkIjoiYTMwNmU4NDhmYzBkZTgxOTNmMDhmYjU5NzY3MzYxYTYifQ==</vt:lpwstr>
  </property>
</Properties>
</file>